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hawk\Desktop\180404 SW Amendment\"/>
    </mc:Choice>
  </mc:AlternateContent>
  <bookViews>
    <workbookView xWindow="0" yWindow="0" windowWidth="28800" windowHeight="12000"/>
  </bookViews>
  <sheets>
    <sheet name="Metrics" sheetId="21" r:id="rId1"/>
    <sheet name="Organizational Rollup" sheetId="33" r:id="rId2"/>
    <sheet name="School Rollup" sheetId="12" r:id="rId3"/>
    <sheet name="Assumptions" sheetId="4" r:id="rId4"/>
    <sheet name="Revenue" sheetId="11" r:id="rId5"/>
    <sheet name="Loan" sheetId="17" r:id="rId6"/>
    <sheet name="CSO" sheetId="32" r:id="rId7"/>
    <sheet name="Site1" sheetId="26" r:id="rId8"/>
    <sheet name="Site2" sheetId="27" r:id="rId9"/>
    <sheet name="Site3" sheetId="28" r:id="rId10"/>
    <sheet name="Site4" sheetId="29" r:id="rId11"/>
    <sheet name="Site5" sheetId="30" r:id="rId12"/>
    <sheet name="Site6" sheetId="34" r:id="rId13"/>
    <sheet name="Scrubbed #4 K-4" sheetId="8" state="hidden" r:id="rId14"/>
    <sheet name="Scrubbed #5 5-8" sheetId="14" state="hidden" r:id="rId15"/>
    <sheet name="Scrubbed #6 9-12" sheetId="15" state="hidden" r:id="rId16"/>
    <sheet name="Rate Sheet" sheetId="5" state="hidden" r:id="rId17"/>
  </sheets>
  <externalReferences>
    <externalReference r:id="rId18"/>
  </externalReferences>
  <definedNames>
    <definedName name="_xlnm._FilterDatabase" localSheetId="13" hidden="1">'Scrubbed #4 K-4'!$A$205:$B$330</definedName>
    <definedName name="_xlnm._FilterDatabase" localSheetId="14" hidden="1">'Scrubbed #5 5-8'!$A$187:$B$312</definedName>
    <definedName name="_xlnm._FilterDatabase" localSheetId="15" hidden="1">'Scrubbed #6 9-12'!$A$187:$B$312</definedName>
    <definedName name="ItemDescription">[1]!UnitCostTable[Item]</definedName>
    <definedName name="_xlnm.Print_Titles" localSheetId="1">'Organizational Rollup'!$A:$C</definedName>
    <definedName name="_xlnm.Print_Titles" localSheetId="2">'School Rollup'!$A:$C</definedName>
  </definedNames>
  <calcPr calcId="162913"/>
</workbook>
</file>

<file path=xl/calcChain.xml><?xml version="1.0" encoding="utf-8"?>
<calcChain xmlns="http://schemas.openxmlformats.org/spreadsheetml/2006/main">
  <c r="F197" i="32" l="1"/>
  <c r="G197" i="32"/>
  <c r="E197" i="32"/>
  <c r="F187" i="32"/>
  <c r="G187" i="32"/>
  <c r="H187" i="32"/>
  <c r="I187" i="32"/>
  <c r="J187" i="32"/>
  <c r="K187" i="32"/>
  <c r="L187" i="32"/>
  <c r="M187" i="32"/>
  <c r="N187" i="32"/>
  <c r="O187" i="32"/>
  <c r="P187" i="32"/>
  <c r="E187" i="32"/>
  <c r="E224" i="28" l="1"/>
  <c r="E224" i="29"/>
  <c r="A215" i="32" l="1"/>
  <c r="F90" i="32"/>
  <c r="G90" i="32"/>
  <c r="H90" i="32"/>
  <c r="I90" i="32"/>
  <c r="J90" i="32"/>
  <c r="K90" i="32"/>
  <c r="L90" i="32"/>
  <c r="M90" i="32"/>
  <c r="N90" i="32"/>
  <c r="O90" i="32"/>
  <c r="P90" i="32"/>
  <c r="E90" i="32"/>
  <c r="G224" i="34" l="1"/>
  <c r="H223" i="34"/>
  <c r="I223" i="34" s="1"/>
  <c r="J223" i="34" s="1"/>
  <c r="K223" i="34" s="1"/>
  <c r="L223" i="34" s="1"/>
  <c r="M223" i="34" s="1"/>
  <c r="N223" i="34" s="1"/>
  <c r="O223" i="34" s="1"/>
  <c r="P223" i="34" s="1"/>
  <c r="H222" i="34"/>
  <c r="I222" i="34" s="1"/>
  <c r="D23" i="29"/>
  <c r="I70" i="4"/>
  <c r="I71" i="4"/>
  <c r="I72" i="4"/>
  <c r="J72" i="4"/>
  <c r="K72" i="4"/>
  <c r="H71" i="4"/>
  <c r="H72" i="4"/>
  <c r="G59" i="4"/>
  <c r="G60" i="4"/>
  <c r="G61" i="4"/>
  <c r="H61" i="4"/>
  <c r="I61" i="4"/>
  <c r="F59" i="4"/>
  <c r="F60" i="4"/>
  <c r="F61" i="4"/>
  <c r="G48" i="4"/>
  <c r="G49" i="4"/>
  <c r="G50" i="4"/>
  <c r="H50" i="4"/>
  <c r="I50" i="4"/>
  <c r="J50" i="4"/>
  <c r="K50" i="4"/>
  <c r="L50" i="4"/>
  <c r="M50" i="4"/>
  <c r="F49" i="4"/>
  <c r="F50" i="4"/>
  <c r="G37" i="4"/>
  <c r="H37" i="4"/>
  <c r="I37" i="4"/>
  <c r="J37" i="4"/>
  <c r="K37" i="4"/>
  <c r="L37" i="4"/>
  <c r="M37" i="4"/>
  <c r="N37" i="4"/>
  <c r="O37" i="4"/>
  <c r="P37" i="4"/>
  <c r="G38" i="4"/>
  <c r="H38" i="4"/>
  <c r="I38" i="4"/>
  <c r="J38" i="4"/>
  <c r="K38" i="4"/>
  <c r="L38" i="4"/>
  <c r="M38" i="4"/>
  <c r="N38" i="4"/>
  <c r="O38" i="4"/>
  <c r="P38" i="4"/>
  <c r="G39" i="4"/>
  <c r="H39" i="4"/>
  <c r="I39" i="4"/>
  <c r="J39" i="4"/>
  <c r="K39" i="4"/>
  <c r="L39" i="4"/>
  <c r="M39" i="4"/>
  <c r="N39" i="4"/>
  <c r="O39" i="4"/>
  <c r="P39" i="4"/>
  <c r="F38" i="4"/>
  <c r="F39" i="4"/>
  <c r="G26" i="4"/>
  <c r="H26" i="4"/>
  <c r="I26" i="4"/>
  <c r="J26" i="4"/>
  <c r="K26" i="4"/>
  <c r="L26" i="4"/>
  <c r="M26" i="4"/>
  <c r="N26" i="4"/>
  <c r="O26" i="4"/>
  <c r="P26" i="4"/>
  <c r="G27" i="4"/>
  <c r="H27" i="4"/>
  <c r="I27" i="4"/>
  <c r="J27" i="4"/>
  <c r="K27" i="4"/>
  <c r="L27" i="4"/>
  <c r="M27" i="4"/>
  <c r="N27" i="4"/>
  <c r="O27" i="4"/>
  <c r="P27" i="4"/>
  <c r="G28" i="4"/>
  <c r="F27" i="4"/>
  <c r="F28" i="4"/>
  <c r="G15" i="4"/>
  <c r="H15" i="4"/>
  <c r="I15" i="4"/>
  <c r="J15" i="4"/>
  <c r="K15" i="4"/>
  <c r="L15" i="4"/>
  <c r="M15" i="4"/>
  <c r="N15" i="4"/>
  <c r="O15" i="4"/>
  <c r="P15" i="4"/>
  <c r="G16" i="4"/>
  <c r="H16" i="4"/>
  <c r="I16" i="4"/>
  <c r="J16" i="4"/>
  <c r="K16" i="4"/>
  <c r="L16" i="4"/>
  <c r="M16" i="4"/>
  <c r="N16" i="4"/>
  <c r="O16" i="4"/>
  <c r="P16" i="4"/>
  <c r="F16" i="4"/>
  <c r="E16" i="4"/>
  <c r="E27" i="4"/>
  <c r="E38" i="4"/>
  <c r="E49" i="4"/>
  <c r="E60" i="4"/>
  <c r="G71" i="4"/>
  <c r="G72" i="4"/>
  <c r="E61" i="4"/>
  <c r="E50" i="4"/>
  <c r="E39" i="4"/>
  <c r="E28" i="4"/>
  <c r="E17" i="4"/>
  <c r="H224" i="34" l="1"/>
  <c r="J222" i="34"/>
  <c r="I224" i="34"/>
  <c r="K222" i="34" l="1"/>
  <c r="J224" i="34"/>
  <c r="K224" i="34" l="1"/>
  <c r="L222" i="34"/>
  <c r="L224" i="34" l="1"/>
  <c r="M222" i="34"/>
  <c r="M224" i="34" l="1"/>
  <c r="N222" i="34"/>
  <c r="N224" i="34" l="1"/>
  <c r="O222" i="34"/>
  <c r="O224" i="34" l="1"/>
  <c r="P222" i="34"/>
  <c r="P224" i="34" s="1"/>
  <c r="E55" i="4" l="1"/>
  <c r="K13" i="34"/>
  <c r="D83" i="30"/>
  <c r="D23" i="34"/>
  <c r="D23" i="28"/>
  <c r="D23" i="27"/>
  <c r="D23" i="26"/>
  <c r="E85" i="21" l="1"/>
  <c r="D85" i="21"/>
  <c r="D121" i="21" s="1"/>
  <c r="E31" i="21"/>
  <c r="D31" i="21"/>
  <c r="E22" i="21"/>
  <c r="E40" i="21" s="1"/>
  <c r="D22" i="21"/>
  <c r="D48" i="21" s="1"/>
  <c r="E121" i="21" l="1"/>
  <c r="D40" i="21"/>
  <c r="D103" i="21"/>
  <c r="E103" i="21"/>
  <c r="E48" i="21"/>
  <c r="D67" i="21"/>
  <c r="E199" i="28"/>
  <c r="E200" i="28" s="1"/>
  <c r="L196" i="34"/>
  <c r="L194" i="34"/>
  <c r="L193" i="34"/>
  <c r="L192" i="34"/>
  <c r="L191" i="34"/>
  <c r="L188" i="34"/>
  <c r="L72" i="4" s="1"/>
  <c r="F222" i="26" l="1"/>
  <c r="G222" i="26" s="1"/>
  <c r="F223" i="29"/>
  <c r="G223" i="29" s="1"/>
  <c r="H223" i="29" s="1"/>
  <c r="I223" i="29" s="1"/>
  <c r="J223" i="29" s="1"/>
  <c r="K223" i="29" s="1"/>
  <c r="L223" i="29" s="1"/>
  <c r="M223" i="29" s="1"/>
  <c r="N223" i="29" s="1"/>
  <c r="O223" i="29" s="1"/>
  <c r="P223" i="29" s="1"/>
  <c r="E35" i="30"/>
  <c r="A212" i="32" l="1"/>
  <c r="P30" i="34"/>
  <c r="O30" i="34"/>
  <c r="N30" i="34"/>
  <c r="M30" i="34"/>
  <c r="L30" i="34"/>
  <c r="K30" i="34"/>
  <c r="J30" i="34"/>
  <c r="I30" i="34"/>
  <c r="H30" i="34"/>
  <c r="G30" i="34"/>
  <c r="F30" i="34"/>
  <c r="E30" i="34"/>
  <c r="D27" i="34"/>
  <c r="K27" i="34" s="1"/>
  <c r="P25" i="34"/>
  <c r="O25" i="34"/>
  <c r="N25" i="34"/>
  <c r="M25" i="34"/>
  <c r="L25" i="34"/>
  <c r="K25" i="34"/>
  <c r="J25" i="34"/>
  <c r="I25" i="34"/>
  <c r="H25" i="34"/>
  <c r="G25" i="34"/>
  <c r="F25" i="34"/>
  <c r="E25" i="34"/>
  <c r="P30" i="29"/>
  <c r="O30" i="29"/>
  <c r="N30" i="29"/>
  <c r="M30" i="29"/>
  <c r="L30" i="29"/>
  <c r="K30" i="29"/>
  <c r="J30" i="29"/>
  <c r="I30" i="29"/>
  <c r="H30" i="29"/>
  <c r="G30" i="29"/>
  <c r="F30" i="29"/>
  <c r="E30" i="29"/>
  <c r="N27" i="29"/>
  <c r="K27" i="29"/>
  <c r="J27" i="29"/>
  <c r="F27" i="29"/>
  <c r="D27" i="29"/>
  <c r="L27" i="29" s="1"/>
  <c r="P25" i="29"/>
  <c r="O25" i="29"/>
  <c r="N25" i="29"/>
  <c r="M25" i="29"/>
  <c r="L25" i="29"/>
  <c r="K25" i="29"/>
  <c r="J25" i="29"/>
  <c r="I25" i="29"/>
  <c r="H25" i="29"/>
  <c r="G25" i="29"/>
  <c r="F25" i="29"/>
  <c r="E25" i="29"/>
  <c r="P30" i="28"/>
  <c r="O30" i="28"/>
  <c r="N30" i="28"/>
  <c r="M30" i="28"/>
  <c r="L30" i="28"/>
  <c r="K30" i="28"/>
  <c r="J30" i="28"/>
  <c r="I30" i="28"/>
  <c r="H30" i="28"/>
  <c r="G30" i="28"/>
  <c r="F30" i="28"/>
  <c r="E30" i="28"/>
  <c r="N27" i="28"/>
  <c r="M27" i="28"/>
  <c r="F27" i="28"/>
  <c r="E27" i="28"/>
  <c r="D27" i="28"/>
  <c r="L27" i="28" s="1"/>
  <c r="P25" i="28"/>
  <c r="O25" i="28"/>
  <c r="N25" i="28"/>
  <c r="M25" i="28"/>
  <c r="L25" i="28"/>
  <c r="K25" i="28"/>
  <c r="J25" i="28"/>
  <c r="I25" i="28"/>
  <c r="H25" i="28"/>
  <c r="G25" i="28"/>
  <c r="F25" i="28"/>
  <c r="E25" i="28"/>
  <c r="P30" i="27"/>
  <c r="O30" i="27"/>
  <c r="N30" i="27"/>
  <c r="M30" i="27"/>
  <c r="L30" i="27"/>
  <c r="K30" i="27"/>
  <c r="J30" i="27"/>
  <c r="I30" i="27"/>
  <c r="H30" i="27"/>
  <c r="G30" i="27"/>
  <c r="F30" i="27"/>
  <c r="E30" i="27"/>
  <c r="K27" i="27"/>
  <c r="D27" i="27"/>
  <c r="J27" i="27" s="1"/>
  <c r="P25" i="27"/>
  <c r="O25" i="27"/>
  <c r="N25" i="27"/>
  <c r="M25" i="27"/>
  <c r="L25" i="27"/>
  <c r="K25" i="27"/>
  <c r="J25" i="27"/>
  <c r="I25" i="27"/>
  <c r="H25" i="27"/>
  <c r="G25" i="27"/>
  <c r="F25" i="27"/>
  <c r="E25" i="27"/>
  <c r="F25" i="26"/>
  <c r="G25" i="26"/>
  <c r="H25" i="26"/>
  <c r="I25" i="26"/>
  <c r="J25" i="26"/>
  <c r="K25" i="26"/>
  <c r="L25" i="26"/>
  <c r="M25" i="26"/>
  <c r="N25" i="26"/>
  <c r="O25" i="26"/>
  <c r="P25" i="26"/>
  <c r="E25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D27" i="26"/>
  <c r="M27" i="26" s="1"/>
  <c r="E27" i="34" l="1"/>
  <c r="F27" i="34"/>
  <c r="N27" i="34"/>
  <c r="L27" i="34"/>
  <c r="M27" i="34"/>
  <c r="G27" i="34"/>
  <c r="O27" i="34"/>
  <c r="H27" i="34"/>
  <c r="P27" i="34"/>
  <c r="J27" i="34"/>
  <c r="I27" i="34"/>
  <c r="E27" i="29"/>
  <c r="M27" i="29"/>
  <c r="G27" i="29"/>
  <c r="O27" i="29"/>
  <c r="H27" i="29"/>
  <c r="P27" i="29"/>
  <c r="I27" i="29"/>
  <c r="G27" i="28"/>
  <c r="O27" i="28"/>
  <c r="H27" i="28"/>
  <c r="P27" i="28"/>
  <c r="I27" i="28"/>
  <c r="J27" i="28"/>
  <c r="K27" i="28"/>
  <c r="L27" i="27"/>
  <c r="E27" i="27"/>
  <c r="M27" i="27"/>
  <c r="F27" i="27"/>
  <c r="N27" i="27"/>
  <c r="G27" i="27"/>
  <c r="O27" i="27"/>
  <c r="H27" i="27"/>
  <c r="P27" i="27"/>
  <c r="I27" i="27"/>
  <c r="K27" i="26"/>
  <c r="L27" i="26"/>
  <c r="J27" i="26"/>
  <c r="I27" i="26"/>
  <c r="P27" i="26"/>
  <c r="H27" i="26"/>
  <c r="G27" i="26"/>
  <c r="N27" i="26"/>
  <c r="F27" i="26"/>
  <c r="O27" i="26"/>
  <c r="E27" i="26"/>
  <c r="E102" i="32" l="1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F222" i="28"/>
  <c r="G222" i="28" l="1"/>
  <c r="F224" i="28"/>
  <c r="F180" i="34"/>
  <c r="F181" i="34"/>
  <c r="E181" i="34"/>
  <c r="E180" i="34"/>
  <c r="H222" i="28" l="1"/>
  <c r="G224" i="28"/>
  <c r="H224" i="26"/>
  <c r="I222" i="26"/>
  <c r="I224" i="26" s="1"/>
  <c r="G164" i="27"/>
  <c r="K164" i="27"/>
  <c r="L164" i="27"/>
  <c r="M164" i="27"/>
  <c r="P164" i="27"/>
  <c r="G164" i="28"/>
  <c r="K164" i="28"/>
  <c r="L164" i="28"/>
  <c r="M164" i="28"/>
  <c r="P164" i="28"/>
  <c r="G164" i="29"/>
  <c r="K164" i="29"/>
  <c r="L164" i="29"/>
  <c r="M164" i="29"/>
  <c r="P164" i="29"/>
  <c r="G164" i="30"/>
  <c r="L164" i="30"/>
  <c r="P164" i="30"/>
  <c r="L164" i="34"/>
  <c r="M164" i="34"/>
  <c r="P164" i="34"/>
  <c r="G164" i="26"/>
  <c r="K164" i="26"/>
  <c r="L164" i="26"/>
  <c r="M164" i="26"/>
  <c r="P164" i="26"/>
  <c r="I222" i="28" l="1"/>
  <c r="H224" i="28"/>
  <c r="J222" i="26"/>
  <c r="D159" i="12"/>
  <c r="E224" i="30"/>
  <c r="F222" i="30"/>
  <c r="F224" i="30" s="1"/>
  <c r="J196" i="30"/>
  <c r="K196" i="30" s="1"/>
  <c r="L196" i="30" s="1"/>
  <c r="M196" i="30" s="1"/>
  <c r="N196" i="30" s="1"/>
  <c r="O196" i="30" s="1"/>
  <c r="P196" i="30" s="1"/>
  <c r="K195" i="30"/>
  <c r="L195" i="30" s="1"/>
  <c r="M195" i="30" s="1"/>
  <c r="N195" i="30" s="1"/>
  <c r="O195" i="30" s="1"/>
  <c r="P195" i="30" s="1"/>
  <c r="J194" i="30"/>
  <c r="K194" i="30" s="1"/>
  <c r="L194" i="30" s="1"/>
  <c r="M194" i="30" s="1"/>
  <c r="N194" i="30" s="1"/>
  <c r="O194" i="30" s="1"/>
  <c r="P194" i="30" s="1"/>
  <c r="J193" i="30"/>
  <c r="K193" i="30" s="1"/>
  <c r="L193" i="30" s="1"/>
  <c r="M193" i="30" s="1"/>
  <c r="N193" i="30" s="1"/>
  <c r="O193" i="30" s="1"/>
  <c r="P193" i="30" s="1"/>
  <c r="J192" i="30"/>
  <c r="K192" i="30" s="1"/>
  <c r="L192" i="30" s="1"/>
  <c r="M192" i="30" s="1"/>
  <c r="N192" i="30" s="1"/>
  <c r="O192" i="30" s="1"/>
  <c r="P192" i="30" s="1"/>
  <c r="J191" i="30"/>
  <c r="K191" i="30" s="1"/>
  <c r="L191" i="30" s="1"/>
  <c r="M191" i="30" s="1"/>
  <c r="N191" i="30" s="1"/>
  <c r="O191" i="30" s="1"/>
  <c r="P191" i="30" s="1"/>
  <c r="K190" i="30"/>
  <c r="L190" i="30" s="1"/>
  <c r="M190" i="30" s="1"/>
  <c r="N190" i="30" s="1"/>
  <c r="O190" i="30" s="1"/>
  <c r="P190" i="30" s="1"/>
  <c r="F222" i="29"/>
  <c r="F224" i="29" s="1"/>
  <c r="J196" i="29"/>
  <c r="J194" i="29"/>
  <c r="J193" i="29"/>
  <c r="J192" i="29"/>
  <c r="J191" i="29"/>
  <c r="J222" i="28" l="1"/>
  <c r="I224" i="28"/>
  <c r="J61" i="4"/>
  <c r="K222" i="26"/>
  <c r="J224" i="26"/>
  <c r="G222" i="30"/>
  <c r="G222" i="29"/>
  <c r="B211" i="27"/>
  <c r="B211" i="28"/>
  <c r="B211" i="29"/>
  <c r="B211" i="30"/>
  <c r="B211" i="34"/>
  <c r="B211" i="26"/>
  <c r="B210" i="32"/>
  <c r="B211" i="32"/>
  <c r="J68" i="4"/>
  <c r="H57" i="4"/>
  <c r="H35" i="4"/>
  <c r="I35" i="4" s="1"/>
  <c r="J35" i="4" s="1"/>
  <c r="K35" i="4" s="1"/>
  <c r="L35" i="4" s="1"/>
  <c r="M35" i="4" s="1"/>
  <c r="N35" i="4" s="1"/>
  <c r="O35" i="4" s="1"/>
  <c r="P35" i="4" s="1"/>
  <c r="H46" i="4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G13" i="4"/>
  <c r="H13" i="4" s="1"/>
  <c r="I13" i="4" s="1"/>
  <c r="J13" i="4" s="1"/>
  <c r="K13" i="4" s="1"/>
  <c r="L13" i="4" s="1"/>
  <c r="M13" i="4" s="1"/>
  <c r="N13" i="4" s="1"/>
  <c r="O13" i="4" s="1"/>
  <c r="P13" i="4" s="1"/>
  <c r="F13" i="4"/>
  <c r="E3" i="4"/>
  <c r="F48" i="4"/>
  <c r="H70" i="4"/>
  <c r="G55" i="4"/>
  <c r="G56" i="4" s="1"/>
  <c r="F55" i="4"/>
  <c r="F56" i="4" s="1"/>
  <c r="E56" i="4"/>
  <c r="G44" i="4"/>
  <c r="G45" i="4" s="1"/>
  <c r="F44" i="4"/>
  <c r="F45" i="4" s="1"/>
  <c r="E44" i="4"/>
  <c r="E45" i="4" s="1"/>
  <c r="I66" i="4"/>
  <c r="I180" i="34" s="1"/>
  <c r="H66" i="4"/>
  <c r="H180" i="34" s="1"/>
  <c r="G66" i="4"/>
  <c r="F65" i="4"/>
  <c r="G65" i="4"/>
  <c r="H65" i="4"/>
  <c r="I65" i="4"/>
  <c r="J65" i="4"/>
  <c r="K65" i="4"/>
  <c r="L65" i="4"/>
  <c r="M65" i="4"/>
  <c r="N65" i="4"/>
  <c r="O65" i="4"/>
  <c r="P65" i="4"/>
  <c r="E65" i="4"/>
  <c r="CF161" i="12"/>
  <c r="CF160" i="12"/>
  <c r="CG160" i="12"/>
  <c r="CH160" i="12"/>
  <c r="CI160" i="12"/>
  <c r="CJ160" i="12"/>
  <c r="CK160" i="12"/>
  <c r="CL160" i="12"/>
  <c r="CM160" i="12"/>
  <c r="CN160" i="12"/>
  <c r="CO160" i="12"/>
  <c r="CG161" i="12"/>
  <c r="CH161" i="12"/>
  <c r="CI161" i="12"/>
  <c r="CJ161" i="12"/>
  <c r="CK161" i="12"/>
  <c r="CL161" i="12"/>
  <c r="CM161" i="12"/>
  <c r="CN161" i="12"/>
  <c r="CO161" i="12"/>
  <c r="BQ161" i="12"/>
  <c r="BQ160" i="12"/>
  <c r="BD160" i="12"/>
  <c r="H26" i="17"/>
  <c r="E19" i="17"/>
  <c r="BR160" i="12"/>
  <c r="BS160" i="12"/>
  <c r="BT160" i="12"/>
  <c r="BU160" i="12"/>
  <c r="BV160" i="12"/>
  <c r="BW160" i="12"/>
  <c r="BX160" i="12"/>
  <c r="BY160" i="12"/>
  <c r="BZ160" i="12"/>
  <c r="CA160" i="12"/>
  <c r="CB160" i="12"/>
  <c r="BR161" i="12"/>
  <c r="BS161" i="12"/>
  <c r="BT161" i="12"/>
  <c r="BU161" i="12"/>
  <c r="BV161" i="12"/>
  <c r="BW161" i="12"/>
  <c r="BX161" i="12"/>
  <c r="BY161" i="12"/>
  <c r="BZ161" i="12"/>
  <c r="CA161" i="12"/>
  <c r="CB161" i="12"/>
  <c r="BD161" i="12"/>
  <c r="K222" i="28" l="1"/>
  <c r="J224" i="28"/>
  <c r="K61" i="4"/>
  <c r="H55" i="4"/>
  <c r="H56" i="4" s="1"/>
  <c r="H60" i="4"/>
  <c r="H59" i="4"/>
  <c r="J70" i="4"/>
  <c r="J71" i="4"/>
  <c r="H49" i="4"/>
  <c r="H48" i="4"/>
  <c r="H67" i="4"/>
  <c r="H181" i="34" s="1"/>
  <c r="I67" i="4"/>
  <c r="I181" i="34" s="1"/>
  <c r="K68" i="4"/>
  <c r="I46" i="4"/>
  <c r="L222" i="26"/>
  <c r="K224" i="26"/>
  <c r="I57" i="4"/>
  <c r="G67" i="4"/>
  <c r="G181" i="34" s="1"/>
  <c r="G180" i="34"/>
  <c r="G224" i="30"/>
  <c r="H222" i="30"/>
  <c r="H222" i="29"/>
  <c r="G224" i="29"/>
  <c r="H44" i="4"/>
  <c r="H45" i="4" s="1"/>
  <c r="J66" i="4"/>
  <c r="L222" i="28" l="1"/>
  <c r="K224" i="28"/>
  <c r="L61" i="4"/>
  <c r="J57" i="4"/>
  <c r="I59" i="4"/>
  <c r="I60" i="4"/>
  <c r="K70" i="4"/>
  <c r="K71" i="4"/>
  <c r="J46" i="4"/>
  <c r="I49" i="4"/>
  <c r="I48" i="4"/>
  <c r="L68" i="4"/>
  <c r="J67" i="4"/>
  <c r="J181" i="34" s="1"/>
  <c r="J180" i="34"/>
  <c r="K66" i="4"/>
  <c r="M222" i="26"/>
  <c r="L224" i="26"/>
  <c r="H224" i="30"/>
  <c r="I222" i="30"/>
  <c r="H224" i="29"/>
  <c r="I222" i="29"/>
  <c r="I55" i="4"/>
  <c r="I56" i="4" s="1"/>
  <c r="I44" i="4"/>
  <c r="I45" i="4" s="1"/>
  <c r="M222" i="28" l="1"/>
  <c r="L224" i="28"/>
  <c r="M61" i="4"/>
  <c r="K57" i="4"/>
  <c r="J59" i="4"/>
  <c r="J60" i="4"/>
  <c r="L71" i="4"/>
  <c r="L70" i="4"/>
  <c r="L66" i="4"/>
  <c r="L67" i="4" s="1"/>
  <c r="L181" i="34" s="1"/>
  <c r="K46" i="4"/>
  <c r="J49" i="4"/>
  <c r="J48" i="4"/>
  <c r="K67" i="4"/>
  <c r="K181" i="34" s="1"/>
  <c r="K180" i="34"/>
  <c r="M68" i="4"/>
  <c r="N222" i="26"/>
  <c r="M224" i="26"/>
  <c r="J222" i="30"/>
  <c r="I224" i="30"/>
  <c r="J222" i="29"/>
  <c r="I224" i="29"/>
  <c r="J55" i="4"/>
  <c r="J56" i="4" s="1"/>
  <c r="J44" i="4"/>
  <c r="J45" i="4" s="1"/>
  <c r="N222" i="28" l="1"/>
  <c r="M224" i="28"/>
  <c r="O188" i="30"/>
  <c r="N61" i="4"/>
  <c r="L57" i="4"/>
  <c r="K60" i="4"/>
  <c r="K59" i="4"/>
  <c r="M71" i="4"/>
  <c r="M70" i="4"/>
  <c r="L180" i="34"/>
  <c r="L46" i="4"/>
  <c r="K48" i="4"/>
  <c r="K49" i="4"/>
  <c r="N68" i="4"/>
  <c r="M66" i="4"/>
  <c r="O222" i="26"/>
  <c r="N224" i="26"/>
  <c r="K222" i="30"/>
  <c r="J224" i="30"/>
  <c r="K222" i="29"/>
  <c r="J224" i="29"/>
  <c r="K55" i="4"/>
  <c r="K56" i="4" s="1"/>
  <c r="K44" i="4"/>
  <c r="K45" i="4" s="1"/>
  <c r="O222" i="28" l="1"/>
  <c r="N224" i="28"/>
  <c r="P188" i="30"/>
  <c r="P61" i="4" s="1"/>
  <c r="O61" i="4"/>
  <c r="M57" i="4"/>
  <c r="L60" i="4"/>
  <c r="L59" i="4"/>
  <c r="N70" i="4"/>
  <c r="N71" i="4"/>
  <c r="N66" i="4"/>
  <c r="N67" i="4" s="1"/>
  <c r="N181" i="34" s="1"/>
  <c r="M46" i="4"/>
  <c r="L48" i="4"/>
  <c r="L49" i="4"/>
  <c r="M67" i="4"/>
  <c r="M181" i="34" s="1"/>
  <c r="M180" i="34"/>
  <c r="O68" i="4"/>
  <c r="P222" i="26"/>
  <c r="P224" i="26" s="1"/>
  <c r="O224" i="26"/>
  <c r="L222" i="30"/>
  <c r="K224" i="30"/>
  <c r="K224" i="29"/>
  <c r="L222" i="29"/>
  <c r="L55" i="4"/>
  <c r="L56" i="4" s="1"/>
  <c r="L44" i="4"/>
  <c r="L45" i="4" s="1"/>
  <c r="P222" i="28" l="1"/>
  <c r="P224" i="28" s="1"/>
  <c r="O224" i="28"/>
  <c r="N57" i="4"/>
  <c r="M59" i="4"/>
  <c r="M60" i="4"/>
  <c r="O66" i="4"/>
  <c r="O70" i="4"/>
  <c r="O71" i="4"/>
  <c r="N180" i="34"/>
  <c r="N46" i="4"/>
  <c r="M48" i="4"/>
  <c r="M49" i="4"/>
  <c r="O67" i="4"/>
  <c r="O181" i="34" s="1"/>
  <c r="O180" i="34"/>
  <c r="P68" i="4"/>
  <c r="L224" i="30"/>
  <c r="M222" i="30"/>
  <c r="L224" i="29"/>
  <c r="M222" i="29"/>
  <c r="M55" i="4"/>
  <c r="M56" i="4" s="1"/>
  <c r="M44" i="4"/>
  <c r="M45" i="4" s="1"/>
  <c r="O57" i="4" l="1"/>
  <c r="N59" i="4"/>
  <c r="N60" i="4"/>
  <c r="P70" i="4"/>
  <c r="P71" i="4"/>
  <c r="O46" i="4"/>
  <c r="N48" i="4"/>
  <c r="N49" i="4"/>
  <c r="P66" i="4"/>
  <c r="M224" i="30"/>
  <c r="N222" i="30"/>
  <c r="M224" i="29"/>
  <c r="N222" i="29"/>
  <c r="N55" i="4"/>
  <c r="N56" i="4" s="1"/>
  <c r="N44" i="4"/>
  <c r="N45" i="4" s="1"/>
  <c r="P57" i="4" l="1"/>
  <c r="O59" i="4"/>
  <c r="O60" i="4"/>
  <c r="P46" i="4"/>
  <c r="O48" i="4"/>
  <c r="O49" i="4"/>
  <c r="P67" i="4"/>
  <c r="P181" i="34" s="1"/>
  <c r="P180" i="34"/>
  <c r="N224" i="29"/>
  <c r="O222" i="29"/>
  <c r="N224" i="30"/>
  <c r="O222" i="30"/>
  <c r="O55" i="4"/>
  <c r="O56" i="4" s="1"/>
  <c r="O44" i="4"/>
  <c r="O45" i="4" s="1"/>
  <c r="P59" i="4" l="1"/>
  <c r="P60" i="4"/>
  <c r="P48" i="4"/>
  <c r="P49" i="4"/>
  <c r="P222" i="29"/>
  <c r="P224" i="29" s="1"/>
  <c r="O224" i="29"/>
  <c r="O224" i="30"/>
  <c r="P222" i="30"/>
  <c r="P224" i="30" s="1"/>
  <c r="P55" i="4"/>
  <c r="P56" i="4" s="1"/>
  <c r="P44" i="4"/>
  <c r="P45" i="4" s="1"/>
  <c r="F14" i="17" l="1"/>
  <c r="G14" i="17" s="1"/>
  <c r="H14" i="17" s="1"/>
  <c r="I14" i="17" s="1"/>
  <c r="J14" i="17" s="1"/>
  <c r="K14" i="17" s="1"/>
  <c r="L14" i="17" s="1"/>
  <c r="M14" i="17" s="1"/>
  <c r="N14" i="17" s="1"/>
  <c r="BE160" i="12"/>
  <c r="BF160" i="12"/>
  <c r="BG160" i="12"/>
  <c r="BH160" i="12"/>
  <c r="BI160" i="12"/>
  <c r="BJ160" i="12"/>
  <c r="BK160" i="12"/>
  <c r="BL160" i="12"/>
  <c r="BM160" i="12"/>
  <c r="BN160" i="12"/>
  <c r="BO160" i="12"/>
  <c r="BE161" i="12"/>
  <c r="BF161" i="12"/>
  <c r="BG161" i="12"/>
  <c r="G161" i="12" s="1"/>
  <c r="BH161" i="12"/>
  <c r="BI161" i="12"/>
  <c r="BJ161" i="12"/>
  <c r="BK161" i="12"/>
  <c r="BL161" i="12"/>
  <c r="BM161" i="12"/>
  <c r="BN161" i="12"/>
  <c r="BO161" i="12"/>
  <c r="AQ161" i="12"/>
  <c r="AQ160" i="12"/>
  <c r="D160" i="12" s="1"/>
  <c r="CE13" i="12"/>
  <c r="CF13" i="12"/>
  <c r="CG13" i="12"/>
  <c r="CH13" i="12"/>
  <c r="CI13" i="12"/>
  <c r="CJ13" i="12"/>
  <c r="CK13" i="12"/>
  <c r="CL13" i="12"/>
  <c r="CM13" i="12"/>
  <c r="CN13" i="12"/>
  <c r="CO13" i="12"/>
  <c r="CE14" i="12"/>
  <c r="CF14" i="12"/>
  <c r="CG14" i="12"/>
  <c r="CH14" i="12"/>
  <c r="CI14" i="12"/>
  <c r="CJ14" i="12"/>
  <c r="CK14" i="12"/>
  <c r="CL14" i="12"/>
  <c r="CM14" i="12"/>
  <c r="CN14" i="12"/>
  <c r="CO14" i="12"/>
  <c r="CE15" i="12"/>
  <c r="CF15" i="12"/>
  <c r="CG15" i="12"/>
  <c r="CE17" i="12"/>
  <c r="CF17" i="12"/>
  <c r="CG17" i="12"/>
  <c r="CH17" i="12"/>
  <c r="CI17" i="12"/>
  <c r="CJ17" i="12"/>
  <c r="CK17" i="12"/>
  <c r="CL17" i="12"/>
  <c r="CM17" i="12"/>
  <c r="CN17" i="12"/>
  <c r="CO17" i="12"/>
  <c r="CE18" i="12"/>
  <c r="CF18" i="12"/>
  <c r="CG18" i="12"/>
  <c r="CH18" i="12"/>
  <c r="CI18" i="12"/>
  <c r="CJ18" i="12"/>
  <c r="CK18" i="12"/>
  <c r="CL18" i="12"/>
  <c r="CM18" i="12"/>
  <c r="CN18" i="12"/>
  <c r="CO18" i="12"/>
  <c r="CE19" i="12"/>
  <c r="CF19" i="12"/>
  <c r="CG19" i="12"/>
  <c r="CH19" i="12"/>
  <c r="CI19" i="12"/>
  <c r="CJ19" i="12"/>
  <c r="CK19" i="12"/>
  <c r="CL19" i="12"/>
  <c r="CM19" i="12"/>
  <c r="CN19" i="12"/>
  <c r="CO19" i="12"/>
  <c r="CE154" i="12"/>
  <c r="CF154" i="12"/>
  <c r="CG154" i="12"/>
  <c r="CH154" i="12"/>
  <c r="CI154" i="12"/>
  <c r="CJ154" i="12"/>
  <c r="CK154" i="12"/>
  <c r="CL154" i="12"/>
  <c r="CM154" i="12"/>
  <c r="CN154" i="12"/>
  <c r="CO154" i="12"/>
  <c r="CE155" i="12"/>
  <c r="CF155" i="12"/>
  <c r="CG155" i="12"/>
  <c r="CH155" i="12"/>
  <c r="CI155" i="12"/>
  <c r="CJ155" i="12"/>
  <c r="CK155" i="12"/>
  <c r="CL155" i="12"/>
  <c r="CM155" i="12"/>
  <c r="CN155" i="12"/>
  <c r="CO155" i="12"/>
  <c r="CD155" i="12"/>
  <c r="CD154" i="12"/>
  <c r="CD19" i="12"/>
  <c r="CD18" i="12"/>
  <c r="CD17" i="12"/>
  <c r="CD15" i="12"/>
  <c r="CD14" i="12"/>
  <c r="CD13" i="12"/>
  <c r="CG164" i="12"/>
  <c r="CG165" i="12"/>
  <c r="CG166" i="12"/>
  <c r="G22" i="21" s="1"/>
  <c r="CH166" i="12"/>
  <c r="H22" i="21" s="1"/>
  <c r="CI166" i="12"/>
  <c r="I22" i="21" s="1"/>
  <c r="CJ166" i="12"/>
  <c r="J22" i="21" s="1"/>
  <c r="CF164" i="12"/>
  <c r="CF165" i="12"/>
  <c r="CF166" i="12"/>
  <c r="F22" i="21" s="1"/>
  <c r="CJ165" i="12"/>
  <c r="CI165" i="12"/>
  <c r="CH165" i="12"/>
  <c r="A217" i="34"/>
  <c r="B216" i="34"/>
  <c r="A216" i="34"/>
  <c r="B215" i="34"/>
  <c r="A215" i="34"/>
  <c r="B214" i="34"/>
  <c r="A214" i="34"/>
  <c r="B213" i="34"/>
  <c r="A213" i="34"/>
  <c r="B212" i="34"/>
  <c r="A212" i="34"/>
  <c r="A211" i="34"/>
  <c r="B210" i="34"/>
  <c r="A210" i="34"/>
  <c r="B209" i="34"/>
  <c r="A209" i="34"/>
  <c r="P203" i="34"/>
  <c r="O203" i="34"/>
  <c r="N203" i="34"/>
  <c r="M203" i="34"/>
  <c r="L203" i="34"/>
  <c r="K203" i="34"/>
  <c r="J203" i="34"/>
  <c r="I203" i="34"/>
  <c r="H203" i="34"/>
  <c r="G203" i="34"/>
  <c r="F203" i="34"/>
  <c r="E203" i="34"/>
  <c r="I202" i="34"/>
  <c r="CH170" i="12" s="1"/>
  <c r="H202" i="34"/>
  <c r="CG170" i="12" s="1"/>
  <c r="G202" i="34"/>
  <c r="CF170" i="12" s="1"/>
  <c r="F202" i="34"/>
  <c r="E202" i="34"/>
  <c r="I199" i="34"/>
  <c r="I200" i="34" s="1"/>
  <c r="H199" i="34"/>
  <c r="H200" i="34" s="1"/>
  <c r="G199" i="34"/>
  <c r="G200" i="34" s="1"/>
  <c r="F199" i="34"/>
  <c r="F200" i="34" s="1"/>
  <c r="E199" i="34"/>
  <c r="E200" i="34" s="1"/>
  <c r="I197" i="34"/>
  <c r="H197" i="34"/>
  <c r="G197" i="34"/>
  <c r="F197" i="34"/>
  <c r="E197" i="34"/>
  <c r="P187" i="34"/>
  <c r="O187" i="34"/>
  <c r="N187" i="34"/>
  <c r="M187" i="34"/>
  <c r="L187" i="34"/>
  <c r="K187" i="34"/>
  <c r="J187" i="34"/>
  <c r="I187" i="34"/>
  <c r="H187" i="34"/>
  <c r="G187" i="34"/>
  <c r="F187" i="34"/>
  <c r="E187" i="34"/>
  <c r="D185" i="34"/>
  <c r="P182" i="34"/>
  <c r="O182" i="34"/>
  <c r="K182" i="34"/>
  <c r="H182" i="34"/>
  <c r="G182" i="34"/>
  <c r="E182" i="34"/>
  <c r="P179" i="34"/>
  <c r="O179" i="34"/>
  <c r="N179" i="34"/>
  <c r="M179" i="34"/>
  <c r="L179" i="34"/>
  <c r="K179" i="34"/>
  <c r="J179" i="34"/>
  <c r="I179" i="34"/>
  <c r="H179" i="34"/>
  <c r="G179" i="34"/>
  <c r="F179" i="34"/>
  <c r="E179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P38" i="34"/>
  <c r="CO20" i="12" s="1"/>
  <c r="O38" i="34"/>
  <c r="CN20" i="12" s="1"/>
  <c r="N38" i="34"/>
  <c r="CM20" i="12" s="1"/>
  <c r="M38" i="34"/>
  <c r="CL20" i="12" s="1"/>
  <c r="L38" i="34"/>
  <c r="CK20" i="12" s="1"/>
  <c r="K38" i="34"/>
  <c r="CJ20" i="12" s="1"/>
  <c r="J38" i="34"/>
  <c r="CI20" i="12" s="1"/>
  <c r="I38" i="34"/>
  <c r="CH20" i="12" s="1"/>
  <c r="H38" i="34"/>
  <c r="CG20" i="12" s="1"/>
  <c r="G38" i="34"/>
  <c r="CF20" i="12" s="1"/>
  <c r="F38" i="34"/>
  <c r="CE20" i="12" s="1"/>
  <c r="E38" i="34"/>
  <c r="CD20" i="12" s="1"/>
  <c r="P22" i="34"/>
  <c r="O22" i="34"/>
  <c r="N22" i="34"/>
  <c r="M22" i="34"/>
  <c r="L22" i="34"/>
  <c r="K22" i="34"/>
  <c r="J22" i="34"/>
  <c r="I22" i="34"/>
  <c r="H22" i="34"/>
  <c r="G22" i="34"/>
  <c r="F22" i="34"/>
  <c r="E22" i="34"/>
  <c r="E19" i="34"/>
  <c r="F16" i="34"/>
  <c r="F15" i="34"/>
  <c r="G15" i="34" s="1"/>
  <c r="G19" i="34" s="1"/>
  <c r="F14" i="34"/>
  <c r="G14" i="34" s="1"/>
  <c r="H14" i="34" s="1"/>
  <c r="I14" i="34" s="1"/>
  <c r="J14" i="34" s="1"/>
  <c r="K14" i="34" s="1"/>
  <c r="L14" i="34" s="1"/>
  <c r="M14" i="34" s="1"/>
  <c r="N14" i="34" s="1"/>
  <c r="O14" i="34" s="1"/>
  <c r="P14" i="34" s="1"/>
  <c r="E11" i="34"/>
  <c r="G10" i="34"/>
  <c r="H10" i="34" s="1"/>
  <c r="F9" i="34"/>
  <c r="E9" i="34"/>
  <c r="G8" i="34"/>
  <c r="H8" i="34" s="1"/>
  <c r="E7" i="34"/>
  <c r="F7" i="34" s="1"/>
  <c r="G7" i="34" s="1"/>
  <c r="H6" i="34"/>
  <c r="I6" i="34" s="1"/>
  <c r="J6" i="34" s="1"/>
  <c r="K6" i="34" s="1"/>
  <c r="E5" i="34"/>
  <c r="H4" i="34"/>
  <c r="I4" i="34" s="1"/>
  <c r="A2" i="34"/>
  <c r="A1" i="34"/>
  <c r="F11" i="34" l="1"/>
  <c r="E113" i="34"/>
  <c r="G9" i="34"/>
  <c r="G11" i="34"/>
  <c r="G113" i="34" s="1"/>
  <c r="O45" i="34"/>
  <c r="P45" i="34"/>
  <c r="J43" i="34"/>
  <c r="M49" i="34"/>
  <c r="E49" i="34"/>
  <c r="L49" i="34"/>
  <c r="K43" i="34"/>
  <c r="F49" i="34"/>
  <c r="N49" i="34"/>
  <c r="E43" i="34"/>
  <c r="L43" i="34"/>
  <c r="G49" i="34"/>
  <c r="O49" i="34"/>
  <c r="M43" i="34"/>
  <c r="H49" i="34"/>
  <c r="P49" i="34"/>
  <c r="F43" i="34"/>
  <c r="N43" i="34"/>
  <c r="I49" i="34"/>
  <c r="G43" i="34"/>
  <c r="O43" i="34"/>
  <c r="J49" i="34"/>
  <c r="I43" i="34"/>
  <c r="H43" i="34"/>
  <c r="P43" i="34"/>
  <c r="K49" i="34"/>
  <c r="E84" i="34"/>
  <c r="E83" i="34"/>
  <c r="E42" i="34"/>
  <c r="E137" i="34"/>
  <c r="CD117" i="12" s="1"/>
  <c r="E48" i="34"/>
  <c r="E45" i="34"/>
  <c r="E136" i="34"/>
  <c r="G45" i="34"/>
  <c r="K45" i="34"/>
  <c r="H45" i="34"/>
  <c r="G137" i="34"/>
  <c r="CF117" i="12" s="1"/>
  <c r="G136" i="34"/>
  <c r="H15" i="34"/>
  <c r="I15" i="34" s="1"/>
  <c r="J15" i="34" s="1"/>
  <c r="K15" i="34" s="1"/>
  <c r="K161" i="34"/>
  <c r="K164" i="34" s="1"/>
  <c r="O163" i="34"/>
  <c r="O161" i="34"/>
  <c r="H7" i="34"/>
  <c r="I7" i="34" s="1"/>
  <c r="J7" i="34" s="1"/>
  <c r="K7" i="34" s="1"/>
  <c r="E121" i="34"/>
  <c r="CD101" i="12" s="1"/>
  <c r="E134" i="34"/>
  <c r="E102" i="34"/>
  <c r="H9" i="34"/>
  <c r="G161" i="34"/>
  <c r="G164" i="34" s="1"/>
  <c r="CG168" i="12"/>
  <c r="CH168" i="12"/>
  <c r="P103" i="34"/>
  <c r="P82" i="34"/>
  <c r="G79" i="34"/>
  <c r="E116" i="34"/>
  <c r="CD96" i="12" s="1"/>
  <c r="E103" i="34"/>
  <c r="E110" i="34"/>
  <c r="E112" i="34"/>
  <c r="CD92" i="12" s="1"/>
  <c r="E82" i="34"/>
  <c r="E111" i="34"/>
  <c r="CD91" i="12" s="1"/>
  <c r="O82" i="34"/>
  <c r="O103" i="34"/>
  <c r="G82" i="34"/>
  <c r="G111" i="34"/>
  <c r="G110" i="34"/>
  <c r="CF90" i="12" s="1"/>
  <c r="G103" i="34"/>
  <c r="G112" i="34"/>
  <c r="H103" i="34"/>
  <c r="H82" i="34"/>
  <c r="K103" i="34"/>
  <c r="K82" i="34"/>
  <c r="H169" i="34"/>
  <c r="H155" i="34"/>
  <c r="H172" i="34"/>
  <c r="H150" i="34"/>
  <c r="H158" i="34"/>
  <c r="H167" i="34"/>
  <c r="CG147" i="12" s="1"/>
  <c r="H153" i="34"/>
  <c r="H134" i="34"/>
  <c r="H170" i="34"/>
  <c r="H156" i="34"/>
  <c r="H165" i="34"/>
  <c r="H151" i="34"/>
  <c r="H159" i="34"/>
  <c r="H116" i="34"/>
  <c r="CG96" i="12" s="1"/>
  <c r="H168" i="34"/>
  <c r="H154" i="34"/>
  <c r="H117" i="34"/>
  <c r="CG97" i="12" s="1"/>
  <c r="H171" i="34"/>
  <c r="H164" i="34"/>
  <c r="H149" i="34"/>
  <c r="H157" i="34"/>
  <c r="H166" i="34"/>
  <c r="H152" i="34"/>
  <c r="H120" i="34"/>
  <c r="H52" i="34"/>
  <c r="H123" i="34"/>
  <c r="H99" i="34"/>
  <c r="H106" i="34"/>
  <c r="H102" i="34"/>
  <c r="H87" i="34"/>
  <c r="CG68" i="12" s="1"/>
  <c r="H91" i="34"/>
  <c r="H97" i="34"/>
  <c r="H104" i="34"/>
  <c r="H88" i="34"/>
  <c r="H119" i="34"/>
  <c r="CG99" i="12" s="1"/>
  <c r="H100" i="34"/>
  <c r="H78" i="34"/>
  <c r="H90" i="34"/>
  <c r="CG71" i="12" s="1"/>
  <c r="H121" i="34"/>
  <c r="CG101" i="12" s="1"/>
  <c r="H105" i="34"/>
  <c r="H85" i="34"/>
  <c r="H54" i="34"/>
  <c r="H53" i="34"/>
  <c r="H98" i="34"/>
  <c r="H107" i="34"/>
  <c r="H109" i="34"/>
  <c r="H89" i="34"/>
  <c r="CG70" i="12" s="1"/>
  <c r="H79" i="34"/>
  <c r="K116" i="34"/>
  <c r="CJ96" i="12" s="1"/>
  <c r="K168" i="34"/>
  <c r="K154" i="34"/>
  <c r="K117" i="34"/>
  <c r="CJ97" i="12" s="1"/>
  <c r="K171" i="34"/>
  <c r="K149" i="34"/>
  <c r="K157" i="34"/>
  <c r="K166" i="34"/>
  <c r="K152" i="34"/>
  <c r="K169" i="34"/>
  <c r="K155" i="34"/>
  <c r="K167" i="34"/>
  <c r="CJ147" i="12" s="1"/>
  <c r="K172" i="34"/>
  <c r="K150" i="34"/>
  <c r="K158" i="34"/>
  <c r="K153" i="34"/>
  <c r="K134" i="34"/>
  <c r="K170" i="34"/>
  <c r="K156" i="34"/>
  <c r="K165" i="34"/>
  <c r="CJ145" i="12" s="1"/>
  <c r="K151" i="34"/>
  <c r="K159" i="34"/>
  <c r="K91" i="34"/>
  <c r="K99" i="34"/>
  <c r="K121" i="34"/>
  <c r="CJ101" i="12" s="1"/>
  <c r="K119" i="34"/>
  <c r="K107" i="34"/>
  <c r="K109" i="34"/>
  <c r="K90" i="34"/>
  <c r="K54" i="34"/>
  <c r="K98" i="34"/>
  <c r="K105" i="34"/>
  <c r="K102" i="34"/>
  <c r="K87" i="34"/>
  <c r="CJ68" i="12" s="1"/>
  <c r="K123" i="34"/>
  <c r="K106" i="34"/>
  <c r="K120" i="34"/>
  <c r="K88" i="34"/>
  <c r="CJ69" i="12" s="1"/>
  <c r="K85" i="34"/>
  <c r="K53" i="34"/>
  <c r="K104" i="34"/>
  <c r="K89" i="34"/>
  <c r="CJ70" i="12" s="1"/>
  <c r="O185" i="34"/>
  <c r="O95" i="34" s="1"/>
  <c r="O172" i="34"/>
  <c r="O150" i="34"/>
  <c r="O158" i="34"/>
  <c r="O167" i="34"/>
  <c r="CN147" i="12" s="1"/>
  <c r="O153" i="34"/>
  <c r="O134" i="34"/>
  <c r="O170" i="34"/>
  <c r="O156" i="34"/>
  <c r="O165" i="34"/>
  <c r="CN145" i="12" s="1"/>
  <c r="O151" i="34"/>
  <c r="O159" i="34"/>
  <c r="O116" i="34"/>
  <c r="CN96" i="12" s="1"/>
  <c r="O168" i="34"/>
  <c r="O154" i="34"/>
  <c r="O117" i="34"/>
  <c r="CN97" i="12" s="1"/>
  <c r="O171" i="34"/>
  <c r="O149" i="34"/>
  <c r="O157" i="34"/>
  <c r="O166" i="34"/>
  <c r="CN146" i="12" s="1"/>
  <c r="O152" i="34"/>
  <c r="O169" i="34"/>
  <c r="O155" i="34"/>
  <c r="O120" i="34"/>
  <c r="O102" i="34"/>
  <c r="O87" i="34"/>
  <c r="O121" i="34"/>
  <c r="O123" i="34"/>
  <c r="O91" i="34"/>
  <c r="O106" i="34"/>
  <c r="O119" i="34"/>
  <c r="O107" i="34"/>
  <c r="O109" i="34"/>
  <c r="O89" i="34"/>
  <c r="CN70" i="12" s="1"/>
  <c r="O90" i="34"/>
  <c r="CN71" i="12" s="1"/>
  <c r="O88" i="34"/>
  <c r="CN69" i="12" s="1"/>
  <c r="O105" i="34"/>
  <c r="O98" i="34"/>
  <c r="O85" i="34"/>
  <c r="O104" i="34"/>
  <c r="O53" i="34"/>
  <c r="P169" i="34"/>
  <c r="P155" i="34"/>
  <c r="P172" i="34"/>
  <c r="P150" i="34"/>
  <c r="P158" i="34"/>
  <c r="P167" i="34"/>
  <c r="CO147" i="12" s="1"/>
  <c r="P153" i="34"/>
  <c r="P134" i="34"/>
  <c r="P170" i="34"/>
  <c r="P156" i="34"/>
  <c r="P165" i="34"/>
  <c r="P151" i="34"/>
  <c r="P159" i="34"/>
  <c r="P116" i="34"/>
  <c r="P168" i="34"/>
  <c r="P154" i="34"/>
  <c r="P117" i="34"/>
  <c r="CO97" i="12" s="1"/>
  <c r="P171" i="34"/>
  <c r="P149" i="34"/>
  <c r="P157" i="34"/>
  <c r="P166" i="34"/>
  <c r="CO146" i="12" s="1"/>
  <c r="P152" i="34"/>
  <c r="P119" i="34"/>
  <c r="CO99" i="12" s="1"/>
  <c r="P120" i="34"/>
  <c r="P102" i="34"/>
  <c r="P87" i="34"/>
  <c r="CO68" i="12" s="1"/>
  <c r="P123" i="34"/>
  <c r="P91" i="34"/>
  <c r="P106" i="34"/>
  <c r="P104" i="34"/>
  <c r="P88" i="34"/>
  <c r="CO69" i="12" s="1"/>
  <c r="P107" i="34"/>
  <c r="P109" i="34"/>
  <c r="P53" i="34"/>
  <c r="P121" i="34"/>
  <c r="CO101" i="12" s="1"/>
  <c r="P89" i="34"/>
  <c r="CO70" i="12" s="1"/>
  <c r="P90" i="34"/>
  <c r="CO71" i="12" s="1"/>
  <c r="P105" i="34"/>
  <c r="P98" i="34"/>
  <c r="P85" i="34"/>
  <c r="G185" i="34"/>
  <c r="G95" i="34" s="1"/>
  <c r="G172" i="34"/>
  <c r="G150" i="34"/>
  <c r="G158" i="34"/>
  <c r="G144" i="34"/>
  <c r="CF124" i="12" s="1"/>
  <c r="G129" i="34"/>
  <c r="G167" i="34"/>
  <c r="CF147" i="12" s="1"/>
  <c r="G153" i="34"/>
  <c r="G134" i="34"/>
  <c r="G146" i="34"/>
  <c r="G132" i="34"/>
  <c r="G117" i="34"/>
  <c r="CF97" i="12" s="1"/>
  <c r="G170" i="34"/>
  <c r="G156" i="34"/>
  <c r="G142" i="34"/>
  <c r="G127" i="34"/>
  <c r="G143" i="34"/>
  <c r="CF123" i="12" s="1"/>
  <c r="G128" i="34"/>
  <c r="G116" i="34"/>
  <c r="CF96" i="12" s="1"/>
  <c r="G165" i="34"/>
  <c r="G151" i="34"/>
  <c r="G159" i="34"/>
  <c r="G130" i="34"/>
  <c r="G115" i="34"/>
  <c r="G168" i="34"/>
  <c r="G154" i="34"/>
  <c r="G135" i="34"/>
  <c r="CF115" i="12" s="1"/>
  <c r="G147" i="34"/>
  <c r="G171" i="34"/>
  <c r="G149" i="34"/>
  <c r="G157" i="34"/>
  <c r="G166" i="34"/>
  <c r="CF146" i="12" s="1"/>
  <c r="G152" i="34"/>
  <c r="G131" i="34"/>
  <c r="G169" i="34"/>
  <c r="G155" i="34"/>
  <c r="G141" i="34"/>
  <c r="CF121" i="12" s="1"/>
  <c r="G122" i="34"/>
  <c r="G125" i="34"/>
  <c r="G28" i="34" s="1"/>
  <c r="G120" i="34"/>
  <c r="G102" i="34"/>
  <c r="CF93" i="12"/>
  <c r="G87" i="34"/>
  <c r="CF68" i="12" s="1"/>
  <c r="G123" i="34"/>
  <c r="G91" i="34"/>
  <c r="G99" i="34"/>
  <c r="G106" i="34"/>
  <c r="G121" i="34"/>
  <c r="G124" i="34"/>
  <c r="CF104" i="12" s="1"/>
  <c r="G119" i="34"/>
  <c r="CF99" i="12" s="1"/>
  <c r="G100" i="34"/>
  <c r="G107" i="34"/>
  <c r="G109" i="34"/>
  <c r="G90" i="34"/>
  <c r="CF71" i="12" s="1"/>
  <c r="G105" i="34"/>
  <c r="G85" i="34"/>
  <c r="G53" i="34"/>
  <c r="G98" i="34"/>
  <c r="G104" i="34"/>
  <c r="CF92" i="12"/>
  <c r="G52" i="34"/>
  <c r="G89" i="34"/>
  <c r="CF70" i="12" s="1"/>
  <c r="G88" i="34"/>
  <c r="CF69" i="12" s="1"/>
  <c r="G97" i="34"/>
  <c r="G54" i="34"/>
  <c r="E20" i="34"/>
  <c r="E135" i="34"/>
  <c r="CD115" i="12" s="1"/>
  <c r="E172" i="34"/>
  <c r="E168" i="34"/>
  <c r="E129" i="34"/>
  <c r="E158" i="34"/>
  <c r="E154" i="34"/>
  <c r="E150" i="34"/>
  <c r="E169" i="34"/>
  <c r="E131" i="34"/>
  <c r="E159" i="34"/>
  <c r="E155" i="34"/>
  <c r="E151" i="34"/>
  <c r="E127" i="34"/>
  <c r="E140" i="34"/>
  <c r="E170" i="34"/>
  <c r="E87" i="34"/>
  <c r="CD68" i="12" s="1"/>
  <c r="E156" i="34"/>
  <c r="E152" i="34"/>
  <c r="E132" i="34"/>
  <c r="E157" i="34"/>
  <c r="E128" i="34"/>
  <c r="E171" i="34"/>
  <c r="E139" i="34"/>
  <c r="E153" i="34"/>
  <c r="E149" i="34"/>
  <c r="E130" i="34"/>
  <c r="E120" i="34"/>
  <c r="E105" i="34"/>
  <c r="E99" i="34"/>
  <c r="E78" i="34"/>
  <c r="E79" i="34"/>
  <c r="E94" i="34"/>
  <c r="E54" i="34"/>
  <c r="E106" i="34"/>
  <c r="E100" i="34"/>
  <c r="E93" i="34"/>
  <c r="E53" i="34"/>
  <c r="E91" i="34"/>
  <c r="E52" i="34"/>
  <c r="E124" i="34"/>
  <c r="CD104" i="12" s="1"/>
  <c r="E122" i="34"/>
  <c r="E107" i="34"/>
  <c r="E97" i="34"/>
  <c r="E85" i="34"/>
  <c r="E51" i="34"/>
  <c r="E80" i="34"/>
  <c r="E123" i="34"/>
  <c r="E109" i="34"/>
  <c r="E104" i="34"/>
  <c r="E98" i="34"/>
  <c r="E125" i="34"/>
  <c r="E28" i="34" s="1"/>
  <c r="E88" i="34"/>
  <c r="CD69" i="12" s="1"/>
  <c r="E90" i="34"/>
  <c r="CD71" i="12" s="1"/>
  <c r="E144" i="34"/>
  <c r="CD124" i="12" s="1"/>
  <c r="E17" i="34"/>
  <c r="E23" i="34" s="1"/>
  <c r="E24" i="34" s="1"/>
  <c r="E86" i="34"/>
  <c r="CD67" i="12" s="1"/>
  <c r="E89" i="34"/>
  <c r="CD70" i="12" s="1"/>
  <c r="CF168" i="12"/>
  <c r="G78" i="34"/>
  <c r="G204" i="34"/>
  <c r="CN68" i="12"/>
  <c r="CJ99" i="12"/>
  <c r="CN99" i="12"/>
  <c r="M182" i="34"/>
  <c r="E115" i="34"/>
  <c r="CD95" i="12" s="1"/>
  <c r="E119" i="34"/>
  <c r="CD99" i="12" s="1"/>
  <c r="E143" i="34"/>
  <c r="CD123" i="12" s="1"/>
  <c r="CJ164" i="12"/>
  <c r="CI164" i="12"/>
  <c r="CH164" i="12"/>
  <c r="CK166" i="12"/>
  <c r="K22" i="21" s="1"/>
  <c r="CD90" i="12"/>
  <c r="CD116" i="12"/>
  <c r="CD93" i="12"/>
  <c r="E146" i="34"/>
  <c r="E147" i="34"/>
  <c r="CD127" i="12" s="1"/>
  <c r="I182" i="34"/>
  <c r="J182" i="34"/>
  <c r="E141" i="34"/>
  <c r="CD121" i="12" s="1"/>
  <c r="E117" i="34"/>
  <c r="CD97" i="12" s="1"/>
  <c r="E142" i="34"/>
  <c r="D161" i="12"/>
  <c r="F161" i="12"/>
  <c r="H161" i="12"/>
  <c r="CG69" i="12"/>
  <c r="H19" i="34"/>
  <c r="CL166" i="12"/>
  <c r="L22" i="21" s="1"/>
  <c r="E185" i="34"/>
  <c r="E95" i="34" s="1"/>
  <c r="CD76" i="12" s="1"/>
  <c r="L182" i="34"/>
  <c r="F182" i="34"/>
  <c r="N182" i="34"/>
  <c r="H17" i="34"/>
  <c r="L6" i="34"/>
  <c r="K19" i="34"/>
  <c r="L15" i="34"/>
  <c r="H11" i="34"/>
  <c r="E215" i="34"/>
  <c r="E211" i="34"/>
  <c r="E216" i="34"/>
  <c r="E212" i="34"/>
  <c r="E213" i="34"/>
  <c r="E209" i="34"/>
  <c r="E217" i="34"/>
  <c r="E210" i="34"/>
  <c r="E46" i="34" s="1"/>
  <c r="E214" i="34"/>
  <c r="J4" i="34"/>
  <c r="F5" i="34"/>
  <c r="I10" i="34"/>
  <c r="G17" i="34"/>
  <c r="I8" i="34"/>
  <c r="G16" i="34"/>
  <c r="CO96" i="12"/>
  <c r="M190" i="34"/>
  <c r="M195" i="34"/>
  <c r="P185" i="34"/>
  <c r="P95" i="34" s="1"/>
  <c r="CO145" i="12"/>
  <c r="E167" i="34"/>
  <c r="CD147" i="12" s="1"/>
  <c r="E165" i="34"/>
  <c r="CD145" i="12" s="1"/>
  <c r="E166" i="34"/>
  <c r="CD146" i="12" s="1"/>
  <c r="H204" i="34"/>
  <c r="CG169" i="12" s="1"/>
  <c r="CG171" i="12" s="1"/>
  <c r="CG146" i="12"/>
  <c r="H185" i="34"/>
  <c r="I204" i="34"/>
  <c r="I205" i="34" s="1"/>
  <c r="I73" i="4" s="1"/>
  <c r="CF145" i="12"/>
  <c r="CF127" i="12"/>
  <c r="CG145" i="12"/>
  <c r="K52" i="34"/>
  <c r="J199" i="34"/>
  <c r="J200" i="34" s="1"/>
  <c r="J197" i="34"/>
  <c r="E204" i="34"/>
  <c r="E205" i="34" s="1"/>
  <c r="J202" i="34"/>
  <c r="CI170" i="12" s="1"/>
  <c r="K100" i="34"/>
  <c r="CJ146" i="12"/>
  <c r="K185" i="34"/>
  <c r="K95" i="34" s="1"/>
  <c r="F204" i="34"/>
  <c r="F205" i="34" s="1"/>
  <c r="H144" i="34" l="1"/>
  <c r="CG124" i="12" s="1"/>
  <c r="H113" i="34"/>
  <c r="CG93" i="12" s="1"/>
  <c r="F113" i="34"/>
  <c r="O164" i="34"/>
  <c r="E44" i="34"/>
  <c r="N45" i="34"/>
  <c r="J45" i="34"/>
  <c r="G138" i="34"/>
  <c r="F83" i="34"/>
  <c r="F137" i="34"/>
  <c r="CE117" i="12" s="1"/>
  <c r="F42" i="34"/>
  <c r="F44" i="34" s="1"/>
  <c r="F45" i="34"/>
  <c r="F136" i="34"/>
  <c r="CE116" i="12" s="1"/>
  <c r="F48" i="34"/>
  <c r="F50" i="34" s="1"/>
  <c r="I185" i="34"/>
  <c r="I95" i="34" s="1"/>
  <c r="CH76" i="12" s="1"/>
  <c r="I45" i="34"/>
  <c r="G26" i="34"/>
  <c r="G29" i="34" s="1"/>
  <c r="G23" i="34"/>
  <c r="L45" i="34"/>
  <c r="M45" i="34"/>
  <c r="G31" i="21"/>
  <c r="H26" i="34"/>
  <c r="H23" i="34"/>
  <c r="H136" i="34"/>
  <c r="H137" i="34"/>
  <c r="CG117" i="12" s="1"/>
  <c r="H122" i="34"/>
  <c r="O108" i="34"/>
  <c r="L185" i="34"/>
  <c r="L95" i="34" s="1"/>
  <c r="CK76" i="12" s="1"/>
  <c r="J162" i="34"/>
  <c r="K173" i="34"/>
  <c r="H131" i="34"/>
  <c r="H132" i="34"/>
  <c r="I163" i="34"/>
  <c r="I164" i="34" s="1"/>
  <c r="H146" i="34"/>
  <c r="CG126" i="12" s="1"/>
  <c r="H115" i="34"/>
  <c r="H118" i="34" s="1"/>
  <c r="H141" i="34"/>
  <c r="CG121" i="12" s="1"/>
  <c r="H111" i="34"/>
  <c r="CG91" i="12" s="1"/>
  <c r="H128" i="34"/>
  <c r="H147" i="34"/>
  <c r="CG127" i="12" s="1"/>
  <c r="H143" i="34"/>
  <c r="CG123" i="12" s="1"/>
  <c r="H127" i="34"/>
  <c r="H110" i="34"/>
  <c r="CG90" i="12" s="1"/>
  <c r="H124" i="34"/>
  <c r="CG104" i="12" s="1"/>
  <c r="H135" i="34"/>
  <c r="H142" i="34"/>
  <c r="CG122" i="12" s="1"/>
  <c r="H129" i="34"/>
  <c r="H112" i="34"/>
  <c r="H125" i="34"/>
  <c r="H28" i="34" s="1"/>
  <c r="H130" i="34"/>
  <c r="CD7" i="12"/>
  <c r="E26" i="34"/>
  <c r="H80" i="34"/>
  <c r="CI168" i="12"/>
  <c r="K97" i="34"/>
  <c r="K101" i="34" s="1"/>
  <c r="G108" i="34"/>
  <c r="I103" i="34"/>
  <c r="I82" i="34"/>
  <c r="J82" i="34"/>
  <c r="J103" i="34"/>
  <c r="J19" i="34"/>
  <c r="M103" i="34"/>
  <c r="M82" i="34"/>
  <c r="L82" i="34"/>
  <c r="L103" i="34"/>
  <c r="N103" i="34"/>
  <c r="N82" i="34"/>
  <c r="H108" i="34"/>
  <c r="F103" i="34"/>
  <c r="F112" i="34"/>
  <c r="CE92" i="12" s="1"/>
  <c r="F110" i="34"/>
  <c r="CE90" i="12" s="1"/>
  <c r="F111" i="34"/>
  <c r="F82" i="34"/>
  <c r="G148" i="34"/>
  <c r="K108" i="34"/>
  <c r="CN76" i="12"/>
  <c r="J117" i="34"/>
  <c r="CI97" i="12" s="1"/>
  <c r="J171" i="34"/>
  <c r="J164" i="34"/>
  <c r="J149" i="34"/>
  <c r="J157" i="34"/>
  <c r="J166" i="34"/>
  <c r="CI146" i="12" s="1"/>
  <c r="J152" i="34"/>
  <c r="J169" i="34"/>
  <c r="J155" i="34"/>
  <c r="J172" i="34"/>
  <c r="J150" i="34"/>
  <c r="J158" i="34"/>
  <c r="J167" i="34"/>
  <c r="CI147" i="12" s="1"/>
  <c r="J153" i="34"/>
  <c r="J134" i="34"/>
  <c r="J170" i="34"/>
  <c r="J156" i="34"/>
  <c r="J165" i="34"/>
  <c r="J151" i="34"/>
  <c r="J159" i="34"/>
  <c r="J116" i="34"/>
  <c r="CI96" i="12" s="1"/>
  <c r="J168" i="34"/>
  <c r="J154" i="34"/>
  <c r="J119" i="34"/>
  <c r="CI99" i="12" s="1"/>
  <c r="J54" i="34"/>
  <c r="J120" i="34"/>
  <c r="J90" i="34"/>
  <c r="J98" i="34"/>
  <c r="J105" i="34"/>
  <c r="J89" i="34"/>
  <c r="CI70" i="12" s="1"/>
  <c r="J123" i="34"/>
  <c r="J91" i="34"/>
  <c r="J99" i="34"/>
  <c r="J106" i="34"/>
  <c r="J121" i="34"/>
  <c r="CI101" i="12" s="1"/>
  <c r="J97" i="34"/>
  <c r="J88" i="34"/>
  <c r="CI69" i="12" s="1"/>
  <c r="J102" i="34"/>
  <c r="J87" i="34"/>
  <c r="CI68" i="12" s="1"/>
  <c r="J85" i="34"/>
  <c r="J53" i="34"/>
  <c r="J100" i="34"/>
  <c r="J104" i="34"/>
  <c r="J52" i="34"/>
  <c r="J107" i="34"/>
  <c r="J109" i="34"/>
  <c r="I166" i="34"/>
  <c r="CH146" i="12" s="1"/>
  <c r="I152" i="34"/>
  <c r="I169" i="34"/>
  <c r="I155" i="34"/>
  <c r="I172" i="34"/>
  <c r="I150" i="34"/>
  <c r="I158" i="34"/>
  <c r="I159" i="34"/>
  <c r="I167" i="34"/>
  <c r="CH147" i="12" s="1"/>
  <c r="I153" i="34"/>
  <c r="I134" i="34"/>
  <c r="I170" i="34"/>
  <c r="I156" i="34"/>
  <c r="I165" i="34"/>
  <c r="CH145" i="12" s="1"/>
  <c r="I151" i="34"/>
  <c r="I116" i="34"/>
  <c r="CH96" i="12" s="1"/>
  <c r="I168" i="34"/>
  <c r="I154" i="34"/>
  <c r="I117" i="34"/>
  <c r="CH97" i="12" s="1"/>
  <c r="I171" i="34"/>
  <c r="I149" i="34"/>
  <c r="I157" i="34"/>
  <c r="I97" i="34"/>
  <c r="I104" i="34"/>
  <c r="I119" i="34"/>
  <c r="CH99" i="12" s="1"/>
  <c r="I90" i="34"/>
  <c r="CH71" i="12" s="1"/>
  <c r="I98" i="34"/>
  <c r="I105" i="34"/>
  <c r="I89" i="34"/>
  <c r="CH70" i="12" s="1"/>
  <c r="I120" i="34"/>
  <c r="I52" i="34"/>
  <c r="I102" i="34"/>
  <c r="I121" i="34"/>
  <c r="CH101" i="12" s="1"/>
  <c r="I85" i="34"/>
  <c r="I53" i="34"/>
  <c r="I99" i="34"/>
  <c r="I123" i="34"/>
  <c r="I54" i="34"/>
  <c r="I100" i="34"/>
  <c r="I91" i="34"/>
  <c r="I107" i="34"/>
  <c r="I109" i="34"/>
  <c r="I106" i="34"/>
  <c r="I88" i="34"/>
  <c r="CH69" i="12" s="1"/>
  <c r="I87" i="34"/>
  <c r="CH68" i="12" s="1"/>
  <c r="CN101" i="12"/>
  <c r="G145" i="34"/>
  <c r="CF125" i="12" s="1"/>
  <c r="G101" i="34"/>
  <c r="CF116" i="12"/>
  <c r="G114" i="34"/>
  <c r="CF94" i="12" s="1"/>
  <c r="P160" i="34"/>
  <c r="CF126" i="12"/>
  <c r="J185" i="34"/>
  <c r="J95" i="34" s="1"/>
  <c r="N167" i="34"/>
  <c r="CM147" i="12" s="1"/>
  <c r="N153" i="34"/>
  <c r="N134" i="34"/>
  <c r="N170" i="34"/>
  <c r="N156" i="34"/>
  <c r="N165" i="34"/>
  <c r="CM145" i="12" s="1"/>
  <c r="N151" i="34"/>
  <c r="N159" i="34"/>
  <c r="N166" i="34"/>
  <c r="CM146" i="12" s="1"/>
  <c r="N116" i="34"/>
  <c r="CM96" i="12" s="1"/>
  <c r="N168" i="34"/>
  <c r="N154" i="34"/>
  <c r="N117" i="34"/>
  <c r="N171" i="34"/>
  <c r="N149" i="34"/>
  <c r="N157" i="34"/>
  <c r="N152" i="34"/>
  <c r="N169" i="34"/>
  <c r="N155" i="34"/>
  <c r="N172" i="34"/>
  <c r="N150" i="34"/>
  <c r="N158" i="34"/>
  <c r="N98" i="34"/>
  <c r="N120" i="34"/>
  <c r="N123" i="34"/>
  <c r="N91" i="34"/>
  <c r="N106" i="34"/>
  <c r="N104" i="34"/>
  <c r="N121" i="34"/>
  <c r="CM101" i="12" s="1"/>
  <c r="N85" i="34"/>
  <c r="N53" i="34"/>
  <c r="N90" i="34"/>
  <c r="CM71" i="12" s="1"/>
  <c r="N119" i="34"/>
  <c r="CM99" i="12" s="1"/>
  <c r="N88" i="34"/>
  <c r="CM69" i="12" s="1"/>
  <c r="N102" i="34"/>
  <c r="N105" i="34"/>
  <c r="N87" i="34"/>
  <c r="CM68" i="12" s="1"/>
  <c r="N89" i="34"/>
  <c r="CM70" i="12" s="1"/>
  <c r="N107" i="34"/>
  <c r="N109" i="34"/>
  <c r="G126" i="34"/>
  <c r="CF101" i="12"/>
  <c r="G160" i="34"/>
  <c r="P108" i="34"/>
  <c r="O173" i="34"/>
  <c r="K160" i="34"/>
  <c r="F84" i="34"/>
  <c r="CE65" i="12" s="1"/>
  <c r="F167" i="34"/>
  <c r="CE147" i="12" s="1"/>
  <c r="F153" i="34"/>
  <c r="F134" i="34"/>
  <c r="F146" i="34"/>
  <c r="CE126" i="12" s="1"/>
  <c r="F132" i="34"/>
  <c r="F115" i="34"/>
  <c r="F170" i="34"/>
  <c r="F161" i="34"/>
  <c r="F164" i="34" s="1"/>
  <c r="F156" i="34"/>
  <c r="F142" i="34"/>
  <c r="F127" i="34"/>
  <c r="F116" i="34"/>
  <c r="F117" i="34"/>
  <c r="CE97" i="12" s="1"/>
  <c r="F165" i="34"/>
  <c r="CE145" i="12" s="1"/>
  <c r="F151" i="34"/>
  <c r="F159" i="34"/>
  <c r="F139" i="34"/>
  <c r="F130" i="34"/>
  <c r="F131" i="34"/>
  <c r="F168" i="34"/>
  <c r="F154" i="34"/>
  <c r="F135" i="34"/>
  <c r="F147" i="34"/>
  <c r="F171" i="34"/>
  <c r="F149" i="34"/>
  <c r="F157" i="34"/>
  <c r="F140" i="34"/>
  <c r="F143" i="34"/>
  <c r="CE123" i="12" s="1"/>
  <c r="F128" i="34"/>
  <c r="F166" i="34"/>
  <c r="CE146" i="12" s="1"/>
  <c r="F152" i="34"/>
  <c r="F169" i="34"/>
  <c r="F155" i="34"/>
  <c r="F141" i="34"/>
  <c r="CE121" i="12" s="1"/>
  <c r="F172" i="34"/>
  <c r="F150" i="34"/>
  <c r="F158" i="34"/>
  <c r="F144" i="34"/>
  <c r="F129" i="34"/>
  <c r="F90" i="34"/>
  <c r="CE71" i="12" s="1"/>
  <c r="F95" i="34"/>
  <c r="F125" i="34"/>
  <c r="F28" i="34" s="1"/>
  <c r="F120" i="34"/>
  <c r="F123" i="34"/>
  <c r="F91" i="34"/>
  <c r="F99" i="34"/>
  <c r="F106" i="34"/>
  <c r="F80" i="34"/>
  <c r="F121" i="34"/>
  <c r="CE101" i="12" s="1"/>
  <c r="F85" i="34"/>
  <c r="F53" i="34"/>
  <c r="F94" i="34"/>
  <c r="F104" i="34"/>
  <c r="F97" i="34"/>
  <c r="F78" i="34"/>
  <c r="F86" i="34"/>
  <c r="CE67" i="12" s="1"/>
  <c r="F51" i="34"/>
  <c r="F54" i="34"/>
  <c r="F122" i="34"/>
  <c r="F98" i="34"/>
  <c r="F102" i="34"/>
  <c r="F105" i="34"/>
  <c r="F124" i="34"/>
  <c r="F93" i="34"/>
  <c r="CE93" i="12"/>
  <c r="F100" i="34"/>
  <c r="F107" i="34"/>
  <c r="F109" i="34"/>
  <c r="F52" i="34"/>
  <c r="F89" i="34"/>
  <c r="CE70" i="12" s="1"/>
  <c r="F88" i="34"/>
  <c r="CE69" i="12" s="1"/>
  <c r="F79" i="34"/>
  <c r="F119" i="34"/>
  <c r="CE99" i="12" s="1"/>
  <c r="F87" i="34"/>
  <c r="CE68" i="12" s="1"/>
  <c r="P173" i="34"/>
  <c r="H160" i="34"/>
  <c r="CO76" i="12"/>
  <c r="CF91" i="12"/>
  <c r="L165" i="34"/>
  <c r="L151" i="34"/>
  <c r="L159" i="34"/>
  <c r="L116" i="34"/>
  <c r="CK96" i="12" s="1"/>
  <c r="L168" i="34"/>
  <c r="L154" i="34"/>
  <c r="L117" i="34"/>
  <c r="CK97" i="12" s="1"/>
  <c r="L171" i="34"/>
  <c r="L149" i="34"/>
  <c r="L157" i="34"/>
  <c r="L166" i="34"/>
  <c r="CK146" i="12" s="1"/>
  <c r="L152" i="34"/>
  <c r="L169" i="34"/>
  <c r="L155" i="34"/>
  <c r="L172" i="34"/>
  <c r="L150" i="34"/>
  <c r="L158" i="34"/>
  <c r="L167" i="34"/>
  <c r="L153" i="34"/>
  <c r="L134" i="34"/>
  <c r="L170" i="34"/>
  <c r="L156" i="34"/>
  <c r="L123" i="34"/>
  <c r="L121" i="34"/>
  <c r="CK101" i="12" s="1"/>
  <c r="L104" i="34"/>
  <c r="L88" i="34"/>
  <c r="L119" i="34"/>
  <c r="CK99" i="12" s="1"/>
  <c r="L107" i="34"/>
  <c r="L109" i="34"/>
  <c r="L120" i="34"/>
  <c r="L52" i="34"/>
  <c r="L102" i="34"/>
  <c r="L89" i="34"/>
  <c r="CK70" i="12" s="1"/>
  <c r="L99" i="34"/>
  <c r="L106" i="34"/>
  <c r="L90" i="34"/>
  <c r="CK71" i="12" s="1"/>
  <c r="L87" i="34"/>
  <c r="CK68" i="12" s="1"/>
  <c r="L105" i="34"/>
  <c r="L54" i="34"/>
  <c r="L85" i="34"/>
  <c r="L98" i="34"/>
  <c r="L91" i="34"/>
  <c r="L53" i="34"/>
  <c r="M170" i="34"/>
  <c r="M156" i="34"/>
  <c r="M159" i="34"/>
  <c r="M165" i="34"/>
  <c r="CL145" i="12" s="1"/>
  <c r="M151" i="34"/>
  <c r="M116" i="34"/>
  <c r="CL96" i="12" s="1"/>
  <c r="M168" i="34"/>
  <c r="M154" i="34"/>
  <c r="M117" i="34"/>
  <c r="CL97" i="12" s="1"/>
  <c r="M171" i="34"/>
  <c r="M149" i="34"/>
  <c r="M157" i="34"/>
  <c r="M166" i="34"/>
  <c r="CL146" i="12" s="1"/>
  <c r="M152" i="34"/>
  <c r="M169" i="34"/>
  <c r="M155" i="34"/>
  <c r="M172" i="34"/>
  <c r="M150" i="34"/>
  <c r="M158" i="34"/>
  <c r="M167" i="34"/>
  <c r="CL147" i="12" s="1"/>
  <c r="M153" i="34"/>
  <c r="M134" i="34"/>
  <c r="M123" i="34"/>
  <c r="M121" i="34"/>
  <c r="M85" i="34"/>
  <c r="M53" i="34"/>
  <c r="M104" i="34"/>
  <c r="M88" i="34"/>
  <c r="CL69" i="12" s="1"/>
  <c r="M119" i="34"/>
  <c r="CL99" i="12" s="1"/>
  <c r="M107" i="34"/>
  <c r="M109" i="34"/>
  <c r="M90" i="34"/>
  <c r="CL71" i="12" s="1"/>
  <c r="M98" i="34"/>
  <c r="M105" i="34"/>
  <c r="M89" i="34"/>
  <c r="CL70" i="12" s="1"/>
  <c r="M120" i="34"/>
  <c r="M99" i="34"/>
  <c r="M102" i="34"/>
  <c r="M106" i="34"/>
  <c r="M87" i="34"/>
  <c r="CL68" i="12" s="1"/>
  <c r="M54" i="34"/>
  <c r="M91" i="34"/>
  <c r="G173" i="34"/>
  <c r="G118" i="34"/>
  <c r="CF98" i="12" s="1"/>
  <c r="G133" i="34"/>
  <c r="O160" i="34"/>
  <c r="H101" i="34"/>
  <c r="CJ71" i="12"/>
  <c r="CJ76" i="12"/>
  <c r="CF76" i="12"/>
  <c r="H95" i="34"/>
  <c r="CG76" i="12" s="1"/>
  <c r="H173" i="34"/>
  <c r="CD65" i="12"/>
  <c r="E18" i="34"/>
  <c r="CF169" i="12"/>
  <c r="CF171" i="12" s="1"/>
  <c r="G80" i="34"/>
  <c r="E138" i="34"/>
  <c r="CD118" i="12" s="1"/>
  <c r="G205" i="34"/>
  <c r="G73" i="4" s="1"/>
  <c r="CH169" i="12"/>
  <c r="CH171" i="12" s="1"/>
  <c r="H205" i="34"/>
  <c r="H73" i="4" s="1"/>
  <c r="M185" i="34"/>
  <c r="M95" i="34" s="1"/>
  <c r="N185" i="34"/>
  <c r="E118" i="34"/>
  <c r="CD98" i="12" s="1"/>
  <c r="I19" i="34"/>
  <c r="CK165" i="12"/>
  <c r="CK164" i="12"/>
  <c r="F20" i="34"/>
  <c r="E148" i="34"/>
  <c r="CD128" i="12" s="1"/>
  <c r="CD126" i="12"/>
  <c r="F17" i="34"/>
  <c r="E114" i="34"/>
  <c r="CD94" i="12" s="1"/>
  <c r="CF122" i="12"/>
  <c r="E145" i="34"/>
  <c r="CD125" i="12" s="1"/>
  <c r="CD122" i="12"/>
  <c r="CD9" i="12"/>
  <c r="CF95" i="12"/>
  <c r="F19" i="34"/>
  <c r="CM166" i="12"/>
  <c r="M22" i="21" s="1"/>
  <c r="CE96" i="12"/>
  <c r="CK69" i="12"/>
  <c r="CK147" i="12"/>
  <c r="F185" i="34"/>
  <c r="CF118" i="12"/>
  <c r="CF128" i="12"/>
  <c r="J204" i="34"/>
  <c r="M191" i="34"/>
  <c r="M193" i="34"/>
  <c r="L19" i="34"/>
  <c r="M15" i="34"/>
  <c r="N195" i="34"/>
  <c r="I9" i="34"/>
  <c r="I79" i="34" s="1"/>
  <c r="J8" i="34"/>
  <c r="L97" i="34"/>
  <c r="K197" i="34"/>
  <c r="K199" i="34"/>
  <c r="K200" i="34" s="1"/>
  <c r="CF7" i="12"/>
  <c r="G18" i="34"/>
  <c r="E218" i="34"/>
  <c r="CG92" i="12"/>
  <c r="CG116" i="12"/>
  <c r="G20" i="34"/>
  <c r="H16" i="34"/>
  <c r="J10" i="34"/>
  <c r="I11" i="34"/>
  <c r="L7" i="34"/>
  <c r="M6" i="34"/>
  <c r="N190" i="34"/>
  <c r="N99" i="34" s="1"/>
  <c r="F215" i="34"/>
  <c r="F211" i="34"/>
  <c r="F216" i="34"/>
  <c r="F212" i="34"/>
  <c r="F213" i="34"/>
  <c r="F209" i="34"/>
  <c r="F217" i="34"/>
  <c r="F214" i="34"/>
  <c r="F210" i="34"/>
  <c r="F46" i="34" s="1"/>
  <c r="G5" i="34"/>
  <c r="CG7" i="12"/>
  <c r="H18" i="34"/>
  <c r="K4" i="34"/>
  <c r="I17" i="34"/>
  <c r="L100" i="34"/>
  <c r="K202" i="34"/>
  <c r="CJ170" i="12" s="1"/>
  <c r="M196" i="34"/>
  <c r="F189" i="26"/>
  <c r="I112" i="34" l="1"/>
  <c r="I113" i="34"/>
  <c r="CH93" i="12" s="1"/>
  <c r="G189" i="26"/>
  <c r="F17" i="4"/>
  <c r="H145" i="34"/>
  <c r="CG125" i="12" s="1"/>
  <c r="H114" i="34"/>
  <c r="H148" i="34"/>
  <c r="CG128" i="12" s="1"/>
  <c r="F47" i="34"/>
  <c r="H138" i="34"/>
  <c r="H126" i="34"/>
  <c r="H29" i="34"/>
  <c r="H31" i="21"/>
  <c r="F31" i="21"/>
  <c r="F40" i="21" s="1"/>
  <c r="CE76" i="12"/>
  <c r="I122" i="34"/>
  <c r="I136" i="34"/>
  <c r="CH116" i="12" s="1"/>
  <c r="CG115" i="12"/>
  <c r="I26" i="34"/>
  <c r="I23" i="34"/>
  <c r="F26" i="34"/>
  <c r="F29" i="34" s="1"/>
  <c r="F23" i="34"/>
  <c r="I141" i="34"/>
  <c r="I137" i="34"/>
  <c r="CH117" i="12" s="1"/>
  <c r="H133" i="34"/>
  <c r="I78" i="34"/>
  <c r="I129" i="34"/>
  <c r="I131" i="34"/>
  <c r="I80" i="34"/>
  <c r="I124" i="34"/>
  <c r="I130" i="34"/>
  <c r="I144" i="34"/>
  <c r="I110" i="34"/>
  <c r="CH90" i="12" s="1"/>
  <c r="I147" i="34"/>
  <c r="CH127" i="12" s="1"/>
  <c r="I115" i="34"/>
  <c r="I118" i="34" s="1"/>
  <c r="I132" i="34"/>
  <c r="I111" i="34"/>
  <c r="CH91" i="12" s="1"/>
  <c r="I140" i="34"/>
  <c r="I127" i="34"/>
  <c r="I146" i="34"/>
  <c r="G93" i="34"/>
  <c r="G94" i="34"/>
  <c r="G86" i="34"/>
  <c r="G92" i="34" s="1"/>
  <c r="I128" i="34"/>
  <c r="I135" i="34"/>
  <c r="CH115" i="12" s="1"/>
  <c r="I142" i="34"/>
  <c r="I125" i="34"/>
  <c r="I28" i="34" s="1"/>
  <c r="I143" i="34"/>
  <c r="CH123" i="12" s="1"/>
  <c r="I139" i="34"/>
  <c r="E29" i="34"/>
  <c r="CD8" i="12"/>
  <c r="CJ168" i="12"/>
  <c r="N54" i="34"/>
  <c r="H140" i="34"/>
  <c r="H139" i="34"/>
  <c r="F18" i="34"/>
  <c r="N173" i="34"/>
  <c r="F148" i="34"/>
  <c r="CE128" i="12" s="1"/>
  <c r="L108" i="34"/>
  <c r="CL101" i="12"/>
  <c r="F96" i="34"/>
  <c r="F138" i="34"/>
  <c r="CE118" i="12" s="1"/>
  <c r="CE115" i="12"/>
  <c r="N108" i="34"/>
  <c r="CI71" i="12"/>
  <c r="CL76" i="12"/>
  <c r="M108" i="34"/>
  <c r="F118" i="34"/>
  <c r="CE98" i="12" s="1"/>
  <c r="I173" i="34"/>
  <c r="J108" i="34"/>
  <c r="M173" i="34"/>
  <c r="F92" i="34"/>
  <c r="N164" i="34"/>
  <c r="I160" i="34"/>
  <c r="J173" i="34"/>
  <c r="M160" i="34"/>
  <c r="L173" i="34"/>
  <c r="L160" i="34"/>
  <c r="F126" i="34"/>
  <c r="CE104" i="12"/>
  <c r="F114" i="34"/>
  <c r="CE94" i="12" s="1"/>
  <c r="CE91" i="12"/>
  <c r="F133" i="34"/>
  <c r="N95" i="34"/>
  <c r="CI76" i="12"/>
  <c r="CI145" i="12"/>
  <c r="CM97" i="12"/>
  <c r="F145" i="34"/>
  <c r="CE125" i="12" s="1"/>
  <c r="CE122" i="12"/>
  <c r="I108" i="34"/>
  <c r="J160" i="34"/>
  <c r="F160" i="34"/>
  <c r="N160" i="34"/>
  <c r="CE127" i="12"/>
  <c r="CE9" i="12"/>
  <c r="L101" i="34"/>
  <c r="F101" i="34"/>
  <c r="F108" i="34"/>
  <c r="F173" i="34"/>
  <c r="I101" i="34"/>
  <c r="J101" i="34"/>
  <c r="CD5" i="12"/>
  <c r="CD6" i="12"/>
  <c r="E34" i="34"/>
  <c r="CD16" i="12" s="1"/>
  <c r="CD12" i="12"/>
  <c r="G139" i="34"/>
  <c r="G140" i="34"/>
  <c r="K204" i="34"/>
  <c r="J205" i="34"/>
  <c r="J73" i="4" s="1"/>
  <c r="CI169" i="12"/>
  <c r="CI171" i="12" s="1"/>
  <c r="CL165" i="12"/>
  <c r="CL164" i="12"/>
  <c r="H34" i="34"/>
  <c r="CG16" i="12" s="1"/>
  <c r="CG12" i="12"/>
  <c r="G34" i="34"/>
  <c r="CF16" i="12" s="1"/>
  <c r="CF12" i="12"/>
  <c r="CE95" i="12"/>
  <c r="F34" i="34"/>
  <c r="CE16" i="12" s="1"/>
  <c r="CE12" i="12"/>
  <c r="CG98" i="12"/>
  <c r="CG95" i="12"/>
  <c r="CE124" i="12"/>
  <c r="CE7" i="12"/>
  <c r="CK145" i="12"/>
  <c r="CN166" i="12"/>
  <c r="N22" i="21" s="1"/>
  <c r="CH121" i="12"/>
  <c r="CH124" i="12"/>
  <c r="CH126" i="12"/>
  <c r="CH92" i="12"/>
  <c r="N193" i="34"/>
  <c r="M192" i="34"/>
  <c r="H20" i="34"/>
  <c r="I16" i="34"/>
  <c r="CG118" i="12"/>
  <c r="O195" i="34"/>
  <c r="M19" i="34"/>
  <c r="N15" i="34"/>
  <c r="L199" i="34"/>
  <c r="L200" i="34" s="1"/>
  <c r="L197" i="34"/>
  <c r="M188" i="34"/>
  <c r="M72" i="4" s="1"/>
  <c r="N191" i="34"/>
  <c r="J17" i="34"/>
  <c r="N196" i="34"/>
  <c r="F218" i="34"/>
  <c r="O190" i="34"/>
  <c r="M7" i="34"/>
  <c r="N6" i="34"/>
  <c r="CG94" i="12"/>
  <c r="M194" i="34"/>
  <c r="CH12" i="12"/>
  <c r="CH7" i="12"/>
  <c r="I18" i="34"/>
  <c r="I33" i="34" s="1"/>
  <c r="CH15" i="12" s="1"/>
  <c r="L4" i="34"/>
  <c r="J9" i="34"/>
  <c r="J80" i="34" s="1"/>
  <c r="K8" i="34"/>
  <c r="L202" i="34"/>
  <c r="CK170" i="12" s="1"/>
  <c r="G216" i="34"/>
  <c r="G212" i="34"/>
  <c r="G213" i="34"/>
  <c r="G209" i="34"/>
  <c r="G42" i="34" s="1"/>
  <c r="G44" i="34" s="1"/>
  <c r="G217" i="34"/>
  <c r="G214" i="34"/>
  <c r="G210" i="34"/>
  <c r="G46" i="34" s="1"/>
  <c r="G47" i="34" s="1"/>
  <c r="G215" i="34"/>
  <c r="G211" i="34"/>
  <c r="G48" i="34" s="1"/>
  <c r="G50" i="34" s="1"/>
  <c r="H5" i="34"/>
  <c r="J11" i="34"/>
  <c r="J113" i="34" s="1"/>
  <c r="CI93" i="12" s="1"/>
  <c r="K10" i="34"/>
  <c r="AF141" i="33"/>
  <c r="AG141" i="33"/>
  <c r="AH141" i="33"/>
  <c r="AJ141" i="33"/>
  <c r="AK141" i="33"/>
  <c r="AL141" i="33"/>
  <c r="AN141" i="33"/>
  <c r="AO141" i="33"/>
  <c r="AE142" i="33"/>
  <c r="AF142" i="33"/>
  <c r="AG142" i="33"/>
  <c r="AH142" i="33"/>
  <c r="AI142" i="33"/>
  <c r="AJ142" i="33"/>
  <c r="AK142" i="33"/>
  <c r="AL142" i="33"/>
  <c r="AM142" i="33"/>
  <c r="AN142" i="33"/>
  <c r="AO142" i="33"/>
  <c r="AE143" i="33"/>
  <c r="AF143" i="33"/>
  <c r="AG143" i="33"/>
  <c r="AH143" i="33"/>
  <c r="AI143" i="33"/>
  <c r="AJ143" i="33"/>
  <c r="AK143" i="33"/>
  <c r="AL143" i="33"/>
  <c r="AM143" i="33"/>
  <c r="AN143" i="33"/>
  <c r="AO143" i="33"/>
  <c r="AE154" i="33"/>
  <c r="AF154" i="33"/>
  <c r="AG154" i="33"/>
  <c r="AH154" i="33"/>
  <c r="AI154" i="33"/>
  <c r="AJ154" i="33"/>
  <c r="AK154" i="33"/>
  <c r="AL154" i="33"/>
  <c r="AM154" i="33"/>
  <c r="AN154" i="33"/>
  <c r="AO154" i="33"/>
  <c r="AE155" i="33"/>
  <c r="AF155" i="33"/>
  <c r="AG155" i="33"/>
  <c r="AH155" i="33"/>
  <c r="AI155" i="33"/>
  <c r="AJ155" i="33"/>
  <c r="AK155" i="33"/>
  <c r="AL155" i="33"/>
  <c r="AM155" i="33"/>
  <c r="AN155" i="33"/>
  <c r="AO155" i="33"/>
  <c r="AD141" i="33"/>
  <c r="AD142" i="33"/>
  <c r="AD143" i="33"/>
  <c r="AD154" i="33"/>
  <c r="AD155" i="33"/>
  <c r="AE13" i="33"/>
  <c r="AF13" i="33"/>
  <c r="AG13" i="33"/>
  <c r="AH13" i="33"/>
  <c r="AI13" i="33"/>
  <c r="AJ13" i="33"/>
  <c r="AK13" i="33"/>
  <c r="AL13" i="33"/>
  <c r="AM13" i="33"/>
  <c r="AN13" i="33"/>
  <c r="AO13" i="33"/>
  <c r="AE14" i="33"/>
  <c r="AF14" i="33"/>
  <c r="AG14" i="33"/>
  <c r="AH14" i="33"/>
  <c r="AI14" i="33"/>
  <c r="AJ14" i="33"/>
  <c r="AK14" i="33"/>
  <c r="AL14" i="33"/>
  <c r="AM14" i="33"/>
  <c r="AN14" i="33"/>
  <c r="AO14" i="33"/>
  <c r="AE15" i="33"/>
  <c r="AF15" i="33"/>
  <c r="AG15" i="33"/>
  <c r="AE18" i="33"/>
  <c r="AF18" i="33"/>
  <c r="AG18" i="33"/>
  <c r="AH18" i="33"/>
  <c r="AI18" i="33"/>
  <c r="AJ18" i="33"/>
  <c r="AK18" i="33"/>
  <c r="AL18" i="33"/>
  <c r="AM18" i="33"/>
  <c r="AN18" i="33"/>
  <c r="AO18" i="33"/>
  <c r="AE19" i="33"/>
  <c r="AF19" i="33"/>
  <c r="AG19" i="33"/>
  <c r="AH19" i="33"/>
  <c r="AI19" i="33"/>
  <c r="AJ19" i="33"/>
  <c r="AK19" i="33"/>
  <c r="AL19" i="33"/>
  <c r="AM19" i="33"/>
  <c r="AN19" i="33"/>
  <c r="AO19" i="33"/>
  <c r="AD13" i="33"/>
  <c r="AD14" i="33"/>
  <c r="AD15" i="33"/>
  <c r="AD18" i="33"/>
  <c r="AD19" i="33"/>
  <c r="BR13" i="12"/>
  <c r="BS13" i="12"/>
  <c r="BT13" i="12"/>
  <c r="BU13" i="12"/>
  <c r="BV13" i="12"/>
  <c r="BW13" i="12"/>
  <c r="BX13" i="12"/>
  <c r="BY13" i="12"/>
  <c r="BZ13" i="12"/>
  <c r="CA13" i="12"/>
  <c r="CB13" i="12"/>
  <c r="BR14" i="12"/>
  <c r="BS14" i="12"/>
  <c r="BT14" i="12"/>
  <c r="BU14" i="12"/>
  <c r="BV14" i="12"/>
  <c r="BW14" i="12"/>
  <c r="BX14" i="12"/>
  <c r="BY14" i="12"/>
  <c r="BZ14" i="12"/>
  <c r="CA14" i="12"/>
  <c r="CB14" i="12"/>
  <c r="BR15" i="12"/>
  <c r="BS15" i="12"/>
  <c r="BT15" i="12"/>
  <c r="BR17" i="12"/>
  <c r="BS17" i="12"/>
  <c r="BT17" i="12"/>
  <c r="BU17" i="12"/>
  <c r="BV17" i="12"/>
  <c r="BW17" i="12"/>
  <c r="BX17" i="12"/>
  <c r="BY17" i="12"/>
  <c r="BZ17" i="12"/>
  <c r="CA17" i="12"/>
  <c r="CB17" i="12"/>
  <c r="BR18" i="12"/>
  <c r="BS18" i="12"/>
  <c r="BT18" i="12"/>
  <c r="BU18" i="12"/>
  <c r="BV18" i="12"/>
  <c r="BW18" i="12"/>
  <c r="BX18" i="12"/>
  <c r="BY18" i="12"/>
  <c r="BZ18" i="12"/>
  <c r="CA18" i="12"/>
  <c r="CB18" i="12"/>
  <c r="BR19" i="12"/>
  <c r="BS19" i="12"/>
  <c r="BT19" i="12"/>
  <c r="BU19" i="12"/>
  <c r="BV19" i="12"/>
  <c r="BW19" i="12"/>
  <c r="BX19" i="12"/>
  <c r="BY19" i="12"/>
  <c r="BZ19" i="12"/>
  <c r="CA19" i="12"/>
  <c r="CB19" i="12"/>
  <c r="BQ13" i="12"/>
  <c r="BQ14" i="12"/>
  <c r="BQ15" i="12"/>
  <c r="BQ17" i="12"/>
  <c r="BQ18" i="12"/>
  <c r="BQ19" i="12"/>
  <c r="BE13" i="12"/>
  <c r="BF13" i="12"/>
  <c r="BG13" i="12"/>
  <c r="BH13" i="12"/>
  <c r="BI13" i="12"/>
  <c r="BJ13" i="12"/>
  <c r="BK13" i="12"/>
  <c r="BL13" i="12"/>
  <c r="BM13" i="12"/>
  <c r="BN13" i="12"/>
  <c r="BO13" i="12"/>
  <c r="BE14" i="12"/>
  <c r="BF14" i="12"/>
  <c r="BG14" i="12"/>
  <c r="BH14" i="12"/>
  <c r="BI14" i="12"/>
  <c r="BJ14" i="12"/>
  <c r="BK14" i="12"/>
  <c r="BL14" i="12"/>
  <c r="BM14" i="12"/>
  <c r="BN14" i="12"/>
  <c r="BO14" i="12"/>
  <c r="BE15" i="12"/>
  <c r="BF15" i="12"/>
  <c r="BG15" i="12"/>
  <c r="BE17" i="12"/>
  <c r="BF17" i="12"/>
  <c r="BG17" i="12"/>
  <c r="BH17" i="12"/>
  <c r="BI17" i="12"/>
  <c r="BJ17" i="12"/>
  <c r="BK17" i="12"/>
  <c r="BL17" i="12"/>
  <c r="BM17" i="12"/>
  <c r="BN17" i="12"/>
  <c r="BO17" i="12"/>
  <c r="BE18" i="12"/>
  <c r="BF18" i="12"/>
  <c r="BG18" i="12"/>
  <c r="BH18" i="12"/>
  <c r="BI18" i="12"/>
  <c r="BJ18" i="12"/>
  <c r="BK18" i="12"/>
  <c r="BL18" i="12"/>
  <c r="BM18" i="12"/>
  <c r="BN18" i="12"/>
  <c r="BO18" i="12"/>
  <c r="BE19" i="12"/>
  <c r="BF19" i="12"/>
  <c r="BG19" i="12"/>
  <c r="BH19" i="12"/>
  <c r="BI19" i="12"/>
  <c r="BJ19" i="12"/>
  <c r="BK19" i="12"/>
  <c r="BL19" i="12"/>
  <c r="BM19" i="12"/>
  <c r="BN19" i="12"/>
  <c r="BO19" i="12"/>
  <c r="BD13" i="12"/>
  <c r="BD14" i="12"/>
  <c r="BD15" i="12"/>
  <c r="BD17" i="12"/>
  <c r="BD18" i="12"/>
  <c r="BD19" i="12"/>
  <c r="AR13" i="12"/>
  <c r="AS13" i="12"/>
  <c r="AT13" i="12"/>
  <c r="AU13" i="12"/>
  <c r="AV13" i="12"/>
  <c r="AW13" i="12"/>
  <c r="AX13" i="12"/>
  <c r="AY13" i="12"/>
  <c r="AZ13" i="12"/>
  <c r="BA13" i="12"/>
  <c r="BB13" i="12"/>
  <c r="AR14" i="12"/>
  <c r="AS14" i="12"/>
  <c r="AT14" i="12"/>
  <c r="AU14" i="12"/>
  <c r="AV14" i="12"/>
  <c r="AW14" i="12"/>
  <c r="AX14" i="12"/>
  <c r="AY14" i="12"/>
  <c r="AZ14" i="12"/>
  <c r="BA14" i="12"/>
  <c r="BB14" i="12"/>
  <c r="AR15" i="12"/>
  <c r="AS15" i="12"/>
  <c r="AT15" i="12"/>
  <c r="AR17" i="12"/>
  <c r="AS17" i="12"/>
  <c r="AT17" i="12"/>
  <c r="AU17" i="12"/>
  <c r="AV17" i="12"/>
  <c r="AW17" i="12"/>
  <c r="AX17" i="12"/>
  <c r="AY17" i="12"/>
  <c r="AZ17" i="12"/>
  <c r="BA17" i="12"/>
  <c r="BB17" i="12"/>
  <c r="AR18" i="12"/>
  <c r="AS18" i="12"/>
  <c r="AT18" i="12"/>
  <c r="AU18" i="12"/>
  <c r="AV18" i="12"/>
  <c r="AW18" i="12"/>
  <c r="AX18" i="12"/>
  <c r="AY18" i="12"/>
  <c r="AZ18" i="12"/>
  <c r="BA18" i="12"/>
  <c r="BB18" i="12"/>
  <c r="AR19" i="12"/>
  <c r="AS19" i="12"/>
  <c r="AT19" i="12"/>
  <c r="AU19" i="12"/>
  <c r="AV19" i="12"/>
  <c r="AW19" i="12"/>
  <c r="AX19" i="12"/>
  <c r="AY19" i="12"/>
  <c r="AZ19" i="12"/>
  <c r="BA19" i="12"/>
  <c r="BB19" i="12"/>
  <c r="AQ13" i="12"/>
  <c r="AQ14" i="12"/>
  <c r="AQ15" i="12"/>
  <c r="AQ17" i="12"/>
  <c r="AQ18" i="12"/>
  <c r="AQ19" i="12"/>
  <c r="AE13" i="12"/>
  <c r="AF13" i="12"/>
  <c r="AG13" i="12"/>
  <c r="AH13" i="12"/>
  <c r="AI13" i="12"/>
  <c r="AJ13" i="12"/>
  <c r="AK13" i="12"/>
  <c r="AL13" i="12"/>
  <c r="AM13" i="12"/>
  <c r="AN13" i="12"/>
  <c r="AO13" i="12"/>
  <c r="AE14" i="12"/>
  <c r="AF14" i="12"/>
  <c r="AG14" i="12"/>
  <c r="AH14" i="12"/>
  <c r="AI14" i="12"/>
  <c r="AJ14" i="12"/>
  <c r="AK14" i="12"/>
  <c r="AL14" i="12"/>
  <c r="AM14" i="12"/>
  <c r="AN14" i="12"/>
  <c r="AO14" i="12"/>
  <c r="AE15" i="12"/>
  <c r="AF15" i="12"/>
  <c r="AG15" i="12"/>
  <c r="AE17" i="12"/>
  <c r="AF17" i="12"/>
  <c r="AG17" i="12"/>
  <c r="AH17" i="12"/>
  <c r="AI17" i="12"/>
  <c r="AJ17" i="12"/>
  <c r="AK17" i="12"/>
  <c r="AL17" i="12"/>
  <c r="AM17" i="12"/>
  <c r="AN17" i="12"/>
  <c r="AO17" i="12"/>
  <c r="AE18" i="12"/>
  <c r="AF18" i="12"/>
  <c r="AG18" i="12"/>
  <c r="AH18" i="12"/>
  <c r="AI18" i="12"/>
  <c r="AJ18" i="12"/>
  <c r="AK18" i="12"/>
  <c r="AL18" i="12"/>
  <c r="AM18" i="12"/>
  <c r="AN18" i="12"/>
  <c r="AO18" i="12"/>
  <c r="AE19" i="12"/>
  <c r="AF19" i="12"/>
  <c r="AG19" i="12"/>
  <c r="AH19" i="12"/>
  <c r="AI19" i="12"/>
  <c r="AJ19" i="12"/>
  <c r="AK19" i="12"/>
  <c r="AL19" i="12"/>
  <c r="AM19" i="12"/>
  <c r="AN19" i="12"/>
  <c r="AO19" i="12"/>
  <c r="AP21" i="12"/>
  <c r="AD13" i="12"/>
  <c r="AD14" i="12"/>
  <c r="AD15" i="12"/>
  <c r="AD17" i="12"/>
  <c r="AD18" i="12"/>
  <c r="AD19" i="12"/>
  <c r="R13" i="12"/>
  <c r="S13" i="12"/>
  <c r="T13" i="12"/>
  <c r="U13" i="12"/>
  <c r="V13" i="12"/>
  <c r="W13" i="12"/>
  <c r="X13" i="12"/>
  <c r="Y13" i="12"/>
  <c r="Z13" i="12"/>
  <c r="AA13" i="12"/>
  <c r="AB13" i="12"/>
  <c r="R14" i="12"/>
  <c r="S14" i="12"/>
  <c r="T14" i="12"/>
  <c r="U14" i="12"/>
  <c r="V14" i="12"/>
  <c r="W14" i="12"/>
  <c r="X14" i="12"/>
  <c r="Y14" i="12"/>
  <c r="Z14" i="12"/>
  <c r="AA14" i="12"/>
  <c r="AB14" i="12"/>
  <c r="R15" i="12"/>
  <c r="S15" i="12"/>
  <c r="T15" i="12"/>
  <c r="R17" i="12"/>
  <c r="S17" i="12"/>
  <c r="T17" i="12"/>
  <c r="U17" i="12"/>
  <c r="V17" i="12"/>
  <c r="W17" i="12"/>
  <c r="X17" i="12"/>
  <c r="Y17" i="12"/>
  <c r="Z17" i="12"/>
  <c r="AA17" i="12"/>
  <c r="AB17" i="12"/>
  <c r="R18" i="12"/>
  <c r="S18" i="12"/>
  <c r="T18" i="12"/>
  <c r="U18" i="12"/>
  <c r="V18" i="12"/>
  <c r="W18" i="12"/>
  <c r="X18" i="12"/>
  <c r="Y18" i="12"/>
  <c r="Z18" i="12"/>
  <c r="AA18" i="12"/>
  <c r="AB18" i="12"/>
  <c r="R19" i="12"/>
  <c r="S19" i="12"/>
  <c r="T19" i="12"/>
  <c r="U19" i="12"/>
  <c r="V19" i="12"/>
  <c r="W19" i="12"/>
  <c r="X19" i="12"/>
  <c r="Y19" i="12"/>
  <c r="Z19" i="12"/>
  <c r="AA19" i="12"/>
  <c r="AB19" i="12"/>
  <c r="Q13" i="12"/>
  <c r="Q14" i="12"/>
  <c r="Q15" i="12"/>
  <c r="Q17" i="12"/>
  <c r="Q18" i="12"/>
  <c r="Q19" i="12"/>
  <c r="O19" i="12" l="1"/>
  <c r="G19" i="12"/>
  <c r="J18" i="12"/>
  <c r="M17" i="12"/>
  <c r="E17" i="12"/>
  <c r="K14" i="12"/>
  <c r="N13" i="12"/>
  <c r="F13" i="12"/>
  <c r="H189" i="26"/>
  <c r="G17" i="4"/>
  <c r="CE8" i="12"/>
  <c r="I29" i="34"/>
  <c r="G96" i="34"/>
  <c r="J137" i="34"/>
  <c r="CI117" i="12" s="1"/>
  <c r="J136" i="34"/>
  <c r="CI116" i="12" s="1"/>
  <c r="J26" i="34"/>
  <c r="J23" i="34"/>
  <c r="I31" i="21"/>
  <c r="I126" i="34"/>
  <c r="I114" i="34"/>
  <c r="CH94" i="12" s="1"/>
  <c r="I133" i="34"/>
  <c r="D14" i="12"/>
  <c r="I19" i="12"/>
  <c r="L18" i="12"/>
  <c r="O17" i="12"/>
  <c r="G17" i="12"/>
  <c r="M14" i="12"/>
  <c r="E14" i="12"/>
  <c r="H13" i="12"/>
  <c r="D19" i="12"/>
  <c r="M19" i="12"/>
  <c r="E19" i="12"/>
  <c r="H18" i="12"/>
  <c r="K17" i="12"/>
  <c r="F15" i="12"/>
  <c r="I14" i="12"/>
  <c r="L13" i="12"/>
  <c r="J143" i="34"/>
  <c r="CI123" i="12" s="1"/>
  <c r="J124" i="34"/>
  <c r="J128" i="34"/>
  <c r="J146" i="34"/>
  <c r="J111" i="34"/>
  <c r="CI91" i="12" s="1"/>
  <c r="J131" i="34"/>
  <c r="J132" i="34"/>
  <c r="J130" i="34"/>
  <c r="J144" i="34"/>
  <c r="CI124" i="12" s="1"/>
  <c r="J112" i="34"/>
  <c r="CI92" i="12" s="1"/>
  <c r="J129" i="34"/>
  <c r="J125" i="34"/>
  <c r="J28" i="34" s="1"/>
  <c r="J110" i="34"/>
  <c r="J127" i="34"/>
  <c r="J142" i="34"/>
  <c r="J141" i="34"/>
  <c r="CI121" i="12" s="1"/>
  <c r="J115" i="34"/>
  <c r="J118" i="34" s="1"/>
  <c r="J147" i="34"/>
  <c r="J122" i="34"/>
  <c r="J135" i="34"/>
  <c r="H93" i="34"/>
  <c r="H94" i="34"/>
  <c r="H86" i="34"/>
  <c r="H92" i="34" s="1"/>
  <c r="G51" i="34"/>
  <c r="G55" i="34" s="1"/>
  <c r="CH104" i="12"/>
  <c r="I148" i="34"/>
  <c r="F55" i="34"/>
  <c r="I145" i="34"/>
  <c r="CH125" i="12" s="1"/>
  <c r="J78" i="34"/>
  <c r="J79" i="34"/>
  <c r="I138" i="34"/>
  <c r="CH118" i="12" s="1"/>
  <c r="D18" i="12"/>
  <c r="L19" i="12"/>
  <c r="O18" i="12"/>
  <c r="G18" i="12"/>
  <c r="J17" i="12"/>
  <c r="E15" i="12"/>
  <c r="H14" i="12"/>
  <c r="K13" i="12"/>
  <c r="D13" i="12"/>
  <c r="H19" i="12"/>
  <c r="K18" i="12"/>
  <c r="N17" i="12"/>
  <c r="F17" i="12"/>
  <c r="L14" i="12"/>
  <c r="O13" i="12"/>
  <c r="G13" i="12"/>
  <c r="N19" i="12"/>
  <c r="F19" i="12"/>
  <c r="I18" i="12"/>
  <c r="L17" i="12"/>
  <c r="G15" i="12"/>
  <c r="J14" i="12"/>
  <c r="M13" i="12"/>
  <c r="E13" i="12"/>
  <c r="M52" i="34"/>
  <c r="M97" i="34"/>
  <c r="M202" i="34"/>
  <c r="CL170" i="12" s="1"/>
  <c r="M100" i="34"/>
  <c r="O99" i="34"/>
  <c r="O54" i="34"/>
  <c r="CK168" i="12"/>
  <c r="J140" i="34"/>
  <c r="J139" i="34"/>
  <c r="CJ169" i="12"/>
  <c r="CJ171" i="12" s="1"/>
  <c r="D17" i="12"/>
  <c r="K19" i="12"/>
  <c r="N18" i="12"/>
  <c r="F18" i="12"/>
  <c r="I17" i="12"/>
  <c r="O14" i="12"/>
  <c r="G14" i="12"/>
  <c r="J13" i="12"/>
  <c r="D15" i="12"/>
  <c r="J19" i="12"/>
  <c r="M18" i="12"/>
  <c r="E18" i="12"/>
  <c r="H17" i="12"/>
  <c r="N14" i="12"/>
  <c r="F14" i="12"/>
  <c r="I13" i="12"/>
  <c r="CM76" i="12"/>
  <c r="K205" i="34"/>
  <c r="K73" i="4" s="1"/>
  <c r="CM165" i="12"/>
  <c r="CM164" i="12"/>
  <c r="CH122" i="12"/>
  <c r="CF67" i="12"/>
  <c r="CH98" i="12"/>
  <c r="CH95" i="12"/>
  <c r="CH128" i="12"/>
  <c r="CO166" i="12"/>
  <c r="O22" i="21" s="1"/>
  <c r="P190" i="34"/>
  <c r="K9" i="34"/>
  <c r="L8" i="34"/>
  <c r="I34" i="34"/>
  <c r="CH16" i="12" s="1"/>
  <c r="K11" i="34"/>
  <c r="K113" i="34" s="1"/>
  <c r="CJ93" i="12" s="1"/>
  <c r="L10" i="34"/>
  <c r="CI127" i="12"/>
  <c r="CI104" i="12"/>
  <c r="M4" i="34"/>
  <c r="N7" i="34"/>
  <c r="O6" i="34"/>
  <c r="O196" i="34"/>
  <c r="O191" i="34"/>
  <c r="N19" i="34"/>
  <c r="O15" i="34"/>
  <c r="I20" i="34"/>
  <c r="J16" i="34"/>
  <c r="N194" i="34"/>
  <c r="H216" i="34"/>
  <c r="H212" i="34"/>
  <c r="H213" i="34"/>
  <c r="H209" i="34"/>
  <c r="H42" i="34" s="1"/>
  <c r="H44" i="34" s="1"/>
  <c r="H217" i="34"/>
  <c r="H214" i="34"/>
  <c r="H210" i="34"/>
  <c r="H46" i="34" s="1"/>
  <c r="H47" i="34" s="1"/>
  <c r="H215" i="34"/>
  <c r="H211" i="34"/>
  <c r="H48" i="34" s="1"/>
  <c r="H50" i="34" s="1"/>
  <c r="I5" i="34"/>
  <c r="P195" i="34"/>
  <c r="G218" i="34"/>
  <c r="K17" i="34"/>
  <c r="L13" i="34"/>
  <c r="M197" i="34"/>
  <c r="N188" i="34"/>
  <c r="N72" i="4" s="1"/>
  <c r="M199" i="34"/>
  <c r="M200" i="34" s="1"/>
  <c r="N192" i="34"/>
  <c r="N100" i="34" s="1"/>
  <c r="CI12" i="12"/>
  <c r="CI7" i="12"/>
  <c r="J18" i="34"/>
  <c r="J33" i="34" s="1"/>
  <c r="CI15" i="12" s="1"/>
  <c r="L204" i="34"/>
  <c r="O193" i="34"/>
  <c r="H193" i="32"/>
  <c r="I193" i="32" s="1"/>
  <c r="J193" i="32" s="1"/>
  <c r="K193" i="32" s="1"/>
  <c r="BR154" i="12"/>
  <c r="BS154" i="12"/>
  <c r="BT154" i="12"/>
  <c r="BU154" i="12"/>
  <c r="BV154" i="12"/>
  <c r="BW154" i="12"/>
  <c r="BX154" i="12"/>
  <c r="BY154" i="12"/>
  <c r="BZ154" i="12"/>
  <c r="CA154" i="12"/>
  <c r="CB154" i="12"/>
  <c r="BR155" i="12"/>
  <c r="BS155" i="12"/>
  <c r="BT155" i="12"/>
  <c r="BU155" i="12"/>
  <c r="BV155" i="12"/>
  <c r="BW155" i="12"/>
  <c r="BX155" i="12"/>
  <c r="BY155" i="12"/>
  <c r="BZ155" i="12"/>
  <c r="CA155" i="12"/>
  <c r="CB155" i="12"/>
  <c r="BE154" i="12"/>
  <c r="BF154" i="12"/>
  <c r="BG154" i="12"/>
  <c r="BH154" i="12"/>
  <c r="BI154" i="12"/>
  <c r="BJ154" i="12"/>
  <c r="BK154" i="12"/>
  <c r="BL154" i="12"/>
  <c r="BM154" i="12"/>
  <c r="BN154" i="12"/>
  <c r="BO154" i="12"/>
  <c r="BE155" i="12"/>
  <c r="BF155" i="12"/>
  <c r="BG155" i="12"/>
  <c r="BH155" i="12"/>
  <c r="BI155" i="12"/>
  <c r="BJ155" i="12"/>
  <c r="BK155" i="12"/>
  <c r="BL155" i="12"/>
  <c r="BM155" i="12"/>
  <c r="BN155" i="12"/>
  <c r="BO155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E154" i="12"/>
  <c r="AF154" i="12"/>
  <c r="AG154" i="12"/>
  <c r="AH154" i="12"/>
  <c r="AI154" i="12"/>
  <c r="AJ154" i="12"/>
  <c r="AK154" i="12"/>
  <c r="AL154" i="12"/>
  <c r="AM154" i="12"/>
  <c r="AN154" i="12"/>
  <c r="AO154" i="12"/>
  <c r="AE155" i="12"/>
  <c r="AF155" i="12"/>
  <c r="AG155" i="12"/>
  <c r="AH155" i="12"/>
  <c r="AI155" i="12"/>
  <c r="AJ155" i="12"/>
  <c r="AK155" i="12"/>
  <c r="AL155" i="12"/>
  <c r="AM155" i="12"/>
  <c r="AN155" i="12"/>
  <c r="AO155" i="12"/>
  <c r="BQ155" i="12"/>
  <c r="BQ154" i="12"/>
  <c r="BD155" i="12"/>
  <c r="BD154" i="12"/>
  <c r="AQ155" i="12"/>
  <c r="AQ154" i="12"/>
  <c r="AD155" i="12"/>
  <c r="AD154" i="12"/>
  <c r="R154" i="12"/>
  <c r="S154" i="12"/>
  <c r="T154" i="12"/>
  <c r="U154" i="12"/>
  <c r="V154" i="12"/>
  <c r="W154" i="12"/>
  <c r="X154" i="12"/>
  <c r="Y154" i="12"/>
  <c r="Z154" i="12"/>
  <c r="AA154" i="12"/>
  <c r="AB154" i="12"/>
  <c r="R155" i="12"/>
  <c r="S155" i="12"/>
  <c r="T155" i="12"/>
  <c r="U155" i="12"/>
  <c r="V155" i="12"/>
  <c r="W155" i="12"/>
  <c r="X155" i="12"/>
  <c r="Y155" i="12"/>
  <c r="Z155" i="12"/>
  <c r="AA155" i="12"/>
  <c r="AB155" i="12"/>
  <c r="Q154" i="12"/>
  <c r="Q155" i="12"/>
  <c r="K196" i="29"/>
  <c r="L196" i="29" s="1"/>
  <c r="K195" i="29"/>
  <c r="L195" i="29" s="1"/>
  <c r="K194" i="29"/>
  <c r="L194" i="29" s="1"/>
  <c r="K193" i="29"/>
  <c r="L193" i="29" s="1"/>
  <c r="K192" i="29"/>
  <c r="L192" i="29" s="1"/>
  <c r="K191" i="29"/>
  <c r="L191" i="29" s="1"/>
  <c r="K190" i="29"/>
  <c r="L190" i="29" s="1"/>
  <c r="F187" i="26"/>
  <c r="G187" i="26"/>
  <c r="H187" i="26"/>
  <c r="I187" i="26"/>
  <c r="J187" i="26"/>
  <c r="K187" i="26"/>
  <c r="L187" i="26"/>
  <c r="M187" i="26"/>
  <c r="N187" i="26"/>
  <c r="O187" i="26"/>
  <c r="P187" i="26"/>
  <c r="F187" i="27"/>
  <c r="G187" i="27"/>
  <c r="H187" i="27"/>
  <c r="I187" i="27"/>
  <c r="J187" i="27"/>
  <c r="K187" i="27"/>
  <c r="L187" i="27"/>
  <c r="M187" i="27"/>
  <c r="N187" i="27"/>
  <c r="O187" i="27"/>
  <c r="P187" i="27"/>
  <c r="F187" i="28"/>
  <c r="G187" i="28"/>
  <c r="H187" i="28"/>
  <c r="I187" i="28"/>
  <c r="J187" i="28"/>
  <c r="K187" i="28"/>
  <c r="L187" i="28"/>
  <c r="M187" i="28"/>
  <c r="N187" i="28"/>
  <c r="O187" i="28"/>
  <c r="P187" i="28"/>
  <c r="F187" i="29"/>
  <c r="G187" i="29"/>
  <c r="H187" i="29"/>
  <c r="I187" i="29"/>
  <c r="J187" i="29"/>
  <c r="K187" i="29"/>
  <c r="L187" i="29"/>
  <c r="M187" i="29"/>
  <c r="N187" i="29"/>
  <c r="O187" i="29"/>
  <c r="P187" i="29"/>
  <c r="F187" i="30"/>
  <c r="G187" i="30"/>
  <c r="H187" i="30"/>
  <c r="I187" i="30"/>
  <c r="J187" i="30"/>
  <c r="K187" i="30"/>
  <c r="L187" i="30"/>
  <c r="M187" i="30"/>
  <c r="N187" i="30"/>
  <c r="O187" i="30"/>
  <c r="P187" i="30"/>
  <c r="F179" i="26"/>
  <c r="G179" i="26"/>
  <c r="H179" i="26"/>
  <c r="I179" i="26"/>
  <c r="J179" i="26"/>
  <c r="K179" i="26"/>
  <c r="L179" i="26"/>
  <c r="M179" i="26"/>
  <c r="N179" i="26"/>
  <c r="O179" i="26"/>
  <c r="P179" i="26"/>
  <c r="F179" i="27"/>
  <c r="G179" i="27"/>
  <c r="H179" i="27"/>
  <c r="I179" i="27"/>
  <c r="J179" i="27"/>
  <c r="K179" i="27"/>
  <c r="L179" i="27"/>
  <c r="M179" i="27"/>
  <c r="N179" i="27"/>
  <c r="O179" i="27"/>
  <c r="P179" i="27"/>
  <c r="F179" i="28"/>
  <c r="G179" i="28"/>
  <c r="H179" i="28"/>
  <c r="I179" i="28"/>
  <c r="J179" i="28"/>
  <c r="K179" i="28"/>
  <c r="L179" i="28"/>
  <c r="M179" i="28"/>
  <c r="N179" i="28"/>
  <c r="O179" i="28"/>
  <c r="P179" i="28"/>
  <c r="F179" i="29"/>
  <c r="G179" i="29"/>
  <c r="H179" i="29"/>
  <c r="I179" i="29"/>
  <c r="J179" i="29"/>
  <c r="K179" i="29"/>
  <c r="L179" i="29"/>
  <c r="M179" i="29"/>
  <c r="N179" i="29"/>
  <c r="O179" i="29"/>
  <c r="P179" i="29"/>
  <c r="F179" i="30"/>
  <c r="G179" i="30"/>
  <c r="H179" i="30"/>
  <c r="I179" i="30"/>
  <c r="J179" i="30"/>
  <c r="K179" i="30"/>
  <c r="L179" i="30"/>
  <c r="M179" i="30"/>
  <c r="N179" i="30"/>
  <c r="O179" i="30"/>
  <c r="P179" i="30"/>
  <c r="E187" i="26"/>
  <c r="E187" i="27"/>
  <c r="E187" i="28"/>
  <c r="E187" i="29"/>
  <c r="E187" i="30"/>
  <c r="E179" i="26"/>
  <c r="E179" i="27"/>
  <c r="E179" i="28"/>
  <c r="E179" i="29"/>
  <c r="E179" i="30"/>
  <c r="F149" i="32"/>
  <c r="AE129" i="33" s="1"/>
  <c r="G149" i="32"/>
  <c r="AF129" i="33" s="1"/>
  <c r="H149" i="32"/>
  <c r="AG129" i="33" s="1"/>
  <c r="I149" i="32"/>
  <c r="AH129" i="33" s="1"/>
  <c r="J149" i="32"/>
  <c r="AI129" i="33" s="1"/>
  <c r="K149" i="32"/>
  <c r="AJ129" i="33" s="1"/>
  <c r="L149" i="32"/>
  <c r="AK129" i="33" s="1"/>
  <c r="M149" i="32"/>
  <c r="AL129" i="33" s="1"/>
  <c r="N149" i="32"/>
  <c r="AM129" i="33" s="1"/>
  <c r="O149" i="32"/>
  <c r="AN129" i="33" s="1"/>
  <c r="P149" i="32"/>
  <c r="AO129" i="33" s="1"/>
  <c r="F150" i="32"/>
  <c r="AE130" i="33" s="1"/>
  <c r="G150" i="32"/>
  <c r="AF130" i="33" s="1"/>
  <c r="H150" i="32"/>
  <c r="AG130" i="33" s="1"/>
  <c r="I150" i="32"/>
  <c r="AH130" i="33" s="1"/>
  <c r="J150" i="32"/>
  <c r="AI130" i="33" s="1"/>
  <c r="K150" i="32"/>
  <c r="AJ130" i="33" s="1"/>
  <c r="L150" i="32"/>
  <c r="AK130" i="33" s="1"/>
  <c r="M150" i="32"/>
  <c r="AL130" i="33" s="1"/>
  <c r="N150" i="32"/>
  <c r="AM130" i="33" s="1"/>
  <c r="O150" i="32"/>
  <c r="AN130" i="33" s="1"/>
  <c r="P150" i="32"/>
  <c r="AO130" i="33" s="1"/>
  <c r="F151" i="32"/>
  <c r="AE131" i="33" s="1"/>
  <c r="G151" i="32"/>
  <c r="AF131" i="33" s="1"/>
  <c r="H151" i="32"/>
  <c r="AG131" i="33" s="1"/>
  <c r="I151" i="32"/>
  <c r="AH131" i="33" s="1"/>
  <c r="J151" i="32"/>
  <c r="AI131" i="33" s="1"/>
  <c r="K151" i="32"/>
  <c r="AJ131" i="33" s="1"/>
  <c r="L151" i="32"/>
  <c r="AK131" i="33" s="1"/>
  <c r="M151" i="32"/>
  <c r="AL131" i="33" s="1"/>
  <c r="N151" i="32"/>
  <c r="AM131" i="33" s="1"/>
  <c r="O151" i="32"/>
  <c r="AN131" i="33" s="1"/>
  <c r="P151" i="32"/>
  <c r="AO131" i="33" s="1"/>
  <c r="F152" i="32"/>
  <c r="AE132" i="33" s="1"/>
  <c r="G152" i="32"/>
  <c r="AF132" i="33" s="1"/>
  <c r="H152" i="32"/>
  <c r="AG132" i="33" s="1"/>
  <c r="I152" i="32"/>
  <c r="AH132" i="33" s="1"/>
  <c r="J152" i="32"/>
  <c r="AI132" i="33" s="1"/>
  <c r="K152" i="32"/>
  <c r="AJ132" i="33" s="1"/>
  <c r="L152" i="32"/>
  <c r="AK132" i="33" s="1"/>
  <c r="M152" i="32"/>
  <c r="AL132" i="33" s="1"/>
  <c r="N152" i="32"/>
  <c r="AM132" i="33" s="1"/>
  <c r="O152" i="32"/>
  <c r="AN132" i="33" s="1"/>
  <c r="P152" i="32"/>
  <c r="AO132" i="33" s="1"/>
  <c r="F153" i="32"/>
  <c r="AE133" i="33" s="1"/>
  <c r="G153" i="32"/>
  <c r="AF133" i="33" s="1"/>
  <c r="H153" i="32"/>
  <c r="AG133" i="33" s="1"/>
  <c r="I153" i="32"/>
  <c r="AH133" i="33" s="1"/>
  <c r="J153" i="32"/>
  <c r="AI133" i="33" s="1"/>
  <c r="K153" i="32"/>
  <c r="AJ133" i="33" s="1"/>
  <c r="L153" i="32"/>
  <c r="AK133" i="33" s="1"/>
  <c r="M153" i="32"/>
  <c r="AL133" i="33" s="1"/>
  <c r="N153" i="32"/>
  <c r="AM133" i="33" s="1"/>
  <c r="O153" i="32"/>
  <c r="AN133" i="33" s="1"/>
  <c r="P153" i="32"/>
  <c r="AO133" i="33" s="1"/>
  <c r="F154" i="32"/>
  <c r="AE134" i="33" s="1"/>
  <c r="G154" i="32"/>
  <c r="AF134" i="33" s="1"/>
  <c r="H154" i="32"/>
  <c r="AG134" i="33" s="1"/>
  <c r="I154" i="32"/>
  <c r="AH134" i="33" s="1"/>
  <c r="J154" i="32"/>
  <c r="AI134" i="33" s="1"/>
  <c r="K154" i="32"/>
  <c r="AJ134" i="33" s="1"/>
  <c r="L154" i="32"/>
  <c r="AK134" i="33" s="1"/>
  <c r="M154" i="32"/>
  <c r="AL134" i="33" s="1"/>
  <c r="N154" i="32"/>
  <c r="AM134" i="33" s="1"/>
  <c r="O154" i="32"/>
  <c r="AN134" i="33" s="1"/>
  <c r="P154" i="32"/>
  <c r="AO134" i="33" s="1"/>
  <c r="F155" i="32"/>
  <c r="AE135" i="33" s="1"/>
  <c r="G155" i="32"/>
  <c r="AF135" i="33" s="1"/>
  <c r="H155" i="32"/>
  <c r="AG135" i="33" s="1"/>
  <c r="I155" i="32"/>
  <c r="AH135" i="33" s="1"/>
  <c r="J155" i="32"/>
  <c r="AI135" i="33" s="1"/>
  <c r="K155" i="32"/>
  <c r="AJ135" i="33" s="1"/>
  <c r="L155" i="32"/>
  <c r="AK135" i="33" s="1"/>
  <c r="M155" i="32"/>
  <c r="AL135" i="33" s="1"/>
  <c r="N155" i="32"/>
  <c r="AM135" i="33" s="1"/>
  <c r="O155" i="32"/>
  <c r="AN135" i="33" s="1"/>
  <c r="P155" i="32"/>
  <c r="AO135" i="33" s="1"/>
  <c r="F156" i="32"/>
  <c r="AE136" i="33" s="1"/>
  <c r="G156" i="32"/>
  <c r="AF136" i="33" s="1"/>
  <c r="H156" i="32"/>
  <c r="AG136" i="33" s="1"/>
  <c r="I156" i="32"/>
  <c r="AH136" i="33" s="1"/>
  <c r="J156" i="32"/>
  <c r="AI136" i="33" s="1"/>
  <c r="K156" i="32"/>
  <c r="AJ136" i="33" s="1"/>
  <c r="L156" i="32"/>
  <c r="AK136" i="33" s="1"/>
  <c r="M156" i="32"/>
  <c r="AL136" i="33" s="1"/>
  <c r="N156" i="32"/>
  <c r="AM136" i="33" s="1"/>
  <c r="O156" i="32"/>
  <c r="AN136" i="33" s="1"/>
  <c r="P156" i="32"/>
  <c r="AO136" i="33" s="1"/>
  <c r="F157" i="32"/>
  <c r="AE137" i="33" s="1"/>
  <c r="G157" i="32"/>
  <c r="AF137" i="33" s="1"/>
  <c r="H157" i="32"/>
  <c r="AG137" i="33" s="1"/>
  <c r="I157" i="32"/>
  <c r="AH137" i="33" s="1"/>
  <c r="J157" i="32"/>
  <c r="AI137" i="33" s="1"/>
  <c r="K157" i="32"/>
  <c r="AJ137" i="33" s="1"/>
  <c r="L157" i="32"/>
  <c r="AK137" i="33" s="1"/>
  <c r="M157" i="32"/>
  <c r="AL137" i="33" s="1"/>
  <c r="N157" i="32"/>
  <c r="AM137" i="33" s="1"/>
  <c r="O157" i="32"/>
  <c r="AN137" i="33" s="1"/>
  <c r="P157" i="32"/>
  <c r="AO137" i="33" s="1"/>
  <c r="F158" i="32"/>
  <c r="AE138" i="33" s="1"/>
  <c r="G158" i="32"/>
  <c r="AF138" i="33" s="1"/>
  <c r="H158" i="32"/>
  <c r="AG138" i="33" s="1"/>
  <c r="I158" i="32"/>
  <c r="AH138" i="33" s="1"/>
  <c r="J158" i="32"/>
  <c r="AI138" i="33" s="1"/>
  <c r="K158" i="32"/>
  <c r="AJ138" i="33" s="1"/>
  <c r="L158" i="32"/>
  <c r="AK138" i="33" s="1"/>
  <c r="M158" i="32"/>
  <c r="AL138" i="33" s="1"/>
  <c r="N158" i="32"/>
  <c r="AM138" i="33" s="1"/>
  <c r="O158" i="32"/>
  <c r="AN138" i="33" s="1"/>
  <c r="P158" i="32"/>
  <c r="AO138" i="33" s="1"/>
  <c r="F159" i="32"/>
  <c r="AE139" i="33" s="1"/>
  <c r="G159" i="32"/>
  <c r="AF139" i="33" s="1"/>
  <c r="H159" i="32"/>
  <c r="AG139" i="33" s="1"/>
  <c r="I159" i="32"/>
  <c r="AH139" i="33" s="1"/>
  <c r="J159" i="32"/>
  <c r="AI139" i="33" s="1"/>
  <c r="K159" i="32"/>
  <c r="AJ139" i="33" s="1"/>
  <c r="L159" i="32"/>
  <c r="AK139" i="33" s="1"/>
  <c r="M159" i="32"/>
  <c r="AL139" i="33" s="1"/>
  <c r="N159" i="32"/>
  <c r="AM139" i="33" s="1"/>
  <c r="O159" i="32"/>
  <c r="AN139" i="33" s="1"/>
  <c r="P159" i="32"/>
  <c r="AO139" i="33" s="1"/>
  <c r="G164" i="32"/>
  <c r="AF144" i="33" s="1"/>
  <c r="H164" i="32"/>
  <c r="AG144" i="33" s="1"/>
  <c r="I164" i="32"/>
  <c r="AH144" i="33" s="1"/>
  <c r="K164" i="32"/>
  <c r="AJ144" i="33" s="1"/>
  <c r="L164" i="32"/>
  <c r="AK144" i="33" s="1"/>
  <c r="M164" i="32"/>
  <c r="AL144" i="33" s="1"/>
  <c r="O164" i="32"/>
  <c r="AN144" i="33" s="1"/>
  <c r="P164" i="32"/>
  <c r="AO144" i="33" s="1"/>
  <c r="F167" i="32"/>
  <c r="AE147" i="33" s="1"/>
  <c r="G167" i="32"/>
  <c r="AF147" i="33" s="1"/>
  <c r="H167" i="32"/>
  <c r="AG147" i="33" s="1"/>
  <c r="I167" i="32"/>
  <c r="AH147" i="33" s="1"/>
  <c r="J167" i="32"/>
  <c r="AI147" i="33" s="1"/>
  <c r="K167" i="32"/>
  <c r="AJ147" i="33" s="1"/>
  <c r="L167" i="32"/>
  <c r="AK147" i="33" s="1"/>
  <c r="M167" i="32"/>
  <c r="AL147" i="33" s="1"/>
  <c r="N167" i="32"/>
  <c r="AM147" i="33" s="1"/>
  <c r="O167" i="32"/>
  <c r="AN147" i="33" s="1"/>
  <c r="P167" i="32"/>
  <c r="AO147" i="33" s="1"/>
  <c r="F168" i="32"/>
  <c r="AE148" i="33" s="1"/>
  <c r="G168" i="32"/>
  <c r="AF148" i="33" s="1"/>
  <c r="H168" i="32"/>
  <c r="AG148" i="33" s="1"/>
  <c r="I168" i="32"/>
  <c r="AH148" i="33" s="1"/>
  <c r="J168" i="32"/>
  <c r="AI148" i="33" s="1"/>
  <c r="K168" i="32"/>
  <c r="AJ148" i="33" s="1"/>
  <c r="L168" i="32"/>
  <c r="AK148" i="33" s="1"/>
  <c r="M168" i="32"/>
  <c r="AL148" i="33" s="1"/>
  <c r="N168" i="32"/>
  <c r="AM148" i="33" s="1"/>
  <c r="O168" i="32"/>
  <c r="AN148" i="33" s="1"/>
  <c r="P168" i="32"/>
  <c r="AO148" i="33" s="1"/>
  <c r="F169" i="32"/>
  <c r="AE149" i="33" s="1"/>
  <c r="G169" i="32"/>
  <c r="AF149" i="33" s="1"/>
  <c r="H169" i="32"/>
  <c r="AG149" i="33" s="1"/>
  <c r="I169" i="32"/>
  <c r="AH149" i="33" s="1"/>
  <c r="J169" i="32"/>
  <c r="AI149" i="33" s="1"/>
  <c r="K169" i="32"/>
  <c r="AJ149" i="33" s="1"/>
  <c r="L169" i="32"/>
  <c r="AK149" i="33" s="1"/>
  <c r="M169" i="32"/>
  <c r="AL149" i="33" s="1"/>
  <c r="N169" i="32"/>
  <c r="AM149" i="33" s="1"/>
  <c r="O169" i="32"/>
  <c r="AN149" i="33" s="1"/>
  <c r="P169" i="32"/>
  <c r="AO149" i="33" s="1"/>
  <c r="F170" i="32"/>
  <c r="AE150" i="33" s="1"/>
  <c r="G170" i="32"/>
  <c r="AF150" i="33" s="1"/>
  <c r="H170" i="32"/>
  <c r="AG150" i="33" s="1"/>
  <c r="I170" i="32"/>
  <c r="AH150" i="33" s="1"/>
  <c r="J170" i="32"/>
  <c r="AI150" i="33" s="1"/>
  <c r="K170" i="32"/>
  <c r="AJ150" i="33" s="1"/>
  <c r="L170" i="32"/>
  <c r="AK150" i="33" s="1"/>
  <c r="M170" i="32"/>
  <c r="AL150" i="33" s="1"/>
  <c r="N170" i="32"/>
  <c r="AM150" i="33" s="1"/>
  <c r="O170" i="32"/>
  <c r="AN150" i="33" s="1"/>
  <c r="P170" i="32"/>
  <c r="AO150" i="33" s="1"/>
  <c r="F171" i="32"/>
  <c r="AE151" i="33" s="1"/>
  <c r="G171" i="32"/>
  <c r="AF151" i="33" s="1"/>
  <c r="H171" i="32"/>
  <c r="AG151" i="33" s="1"/>
  <c r="I171" i="32"/>
  <c r="AH151" i="33" s="1"/>
  <c r="J171" i="32"/>
  <c r="AI151" i="33" s="1"/>
  <c r="K171" i="32"/>
  <c r="AJ151" i="33" s="1"/>
  <c r="L171" i="32"/>
  <c r="AK151" i="33" s="1"/>
  <c r="M171" i="32"/>
  <c r="AL151" i="33" s="1"/>
  <c r="N171" i="32"/>
  <c r="AM151" i="33" s="1"/>
  <c r="O171" i="32"/>
  <c r="AN151" i="33" s="1"/>
  <c r="P171" i="32"/>
  <c r="AO151" i="33" s="1"/>
  <c r="F172" i="32"/>
  <c r="AE152" i="33" s="1"/>
  <c r="G172" i="32"/>
  <c r="AF152" i="33" s="1"/>
  <c r="H172" i="32"/>
  <c r="AG152" i="33" s="1"/>
  <c r="I172" i="32"/>
  <c r="AH152" i="33" s="1"/>
  <c r="J172" i="32"/>
  <c r="AI152" i="33" s="1"/>
  <c r="K172" i="32"/>
  <c r="AJ152" i="33" s="1"/>
  <c r="L172" i="32"/>
  <c r="AK152" i="33" s="1"/>
  <c r="M172" i="32"/>
  <c r="AL152" i="33" s="1"/>
  <c r="N172" i="32"/>
  <c r="AM152" i="33" s="1"/>
  <c r="O172" i="32"/>
  <c r="AN152" i="33" s="1"/>
  <c r="P172" i="32"/>
  <c r="AO152" i="33" s="1"/>
  <c r="E164" i="32"/>
  <c r="AD144" i="33" s="1"/>
  <c r="E159" i="32"/>
  <c r="AD139" i="33" s="1"/>
  <c r="E158" i="32"/>
  <c r="AD138" i="33" s="1"/>
  <c r="E157" i="32"/>
  <c r="AD137" i="33" s="1"/>
  <c r="E156" i="32"/>
  <c r="AD136" i="33" s="1"/>
  <c r="E155" i="32"/>
  <c r="AD135" i="33" s="1"/>
  <c r="E154" i="32"/>
  <c r="AD134" i="33" s="1"/>
  <c r="E153" i="32"/>
  <c r="AD133" i="33" s="1"/>
  <c r="E152" i="32"/>
  <c r="AD132" i="33" s="1"/>
  <c r="E151" i="32"/>
  <c r="AD131" i="33" s="1"/>
  <c r="E150" i="32"/>
  <c r="AD130" i="33" s="1"/>
  <c r="E149" i="32"/>
  <c r="AD129" i="33" s="1"/>
  <c r="F116" i="32"/>
  <c r="AE96" i="33" s="1"/>
  <c r="G116" i="32"/>
  <c r="AF96" i="33" s="1"/>
  <c r="H116" i="32"/>
  <c r="AG96" i="33" s="1"/>
  <c r="I116" i="32"/>
  <c r="AH96" i="33" s="1"/>
  <c r="J116" i="32"/>
  <c r="AI96" i="33" s="1"/>
  <c r="K116" i="32"/>
  <c r="AJ96" i="33" s="1"/>
  <c r="L116" i="32"/>
  <c r="AK96" i="33" s="1"/>
  <c r="M116" i="32"/>
  <c r="AL96" i="33" s="1"/>
  <c r="N116" i="32"/>
  <c r="AM96" i="33" s="1"/>
  <c r="O116" i="32"/>
  <c r="AN96" i="33" s="1"/>
  <c r="P116" i="32"/>
  <c r="AO96" i="33" s="1"/>
  <c r="F117" i="32"/>
  <c r="AE97" i="33" s="1"/>
  <c r="G117" i="32"/>
  <c r="AF97" i="33" s="1"/>
  <c r="H117" i="32"/>
  <c r="AG97" i="33" s="1"/>
  <c r="I117" i="32"/>
  <c r="AH97" i="33" s="1"/>
  <c r="J117" i="32"/>
  <c r="AI97" i="33" s="1"/>
  <c r="K117" i="32"/>
  <c r="AJ97" i="33" s="1"/>
  <c r="L117" i="32"/>
  <c r="AK97" i="33" s="1"/>
  <c r="M117" i="32"/>
  <c r="AL97" i="33" s="1"/>
  <c r="N117" i="32"/>
  <c r="AM97" i="33" s="1"/>
  <c r="O117" i="32"/>
  <c r="AN97" i="33" s="1"/>
  <c r="P117" i="32"/>
  <c r="AO97" i="33" s="1"/>
  <c r="F119" i="32"/>
  <c r="AE99" i="33" s="1"/>
  <c r="G119" i="32"/>
  <c r="AF99" i="33" s="1"/>
  <c r="H119" i="32"/>
  <c r="AG99" i="33" s="1"/>
  <c r="I119" i="32"/>
  <c r="AH99" i="33" s="1"/>
  <c r="J119" i="32"/>
  <c r="AI99" i="33" s="1"/>
  <c r="K119" i="32"/>
  <c r="AJ99" i="33" s="1"/>
  <c r="L119" i="32"/>
  <c r="AK99" i="33" s="1"/>
  <c r="M119" i="32"/>
  <c r="AL99" i="33" s="1"/>
  <c r="N119" i="32"/>
  <c r="AM99" i="33" s="1"/>
  <c r="O119" i="32"/>
  <c r="AN99" i="33" s="1"/>
  <c r="P119" i="32"/>
  <c r="AO99" i="33" s="1"/>
  <c r="I155" i="12" l="1"/>
  <c r="L154" i="12"/>
  <c r="J114" i="34"/>
  <c r="CI90" i="12"/>
  <c r="J145" i="34"/>
  <c r="J138" i="34"/>
  <c r="CI118" i="12" s="1"/>
  <c r="J29" i="34"/>
  <c r="J126" i="34"/>
  <c r="J31" i="21"/>
  <c r="K26" i="34"/>
  <c r="K23" i="34"/>
  <c r="K136" i="34"/>
  <c r="CJ116" i="12" s="1"/>
  <c r="K137" i="34"/>
  <c r="CJ117" i="12" s="1"/>
  <c r="CI122" i="12"/>
  <c r="J133" i="34"/>
  <c r="H96" i="34"/>
  <c r="I86" i="34"/>
  <c r="I92" i="34" s="1"/>
  <c r="I94" i="34"/>
  <c r="I93" i="34"/>
  <c r="K143" i="34"/>
  <c r="CJ123" i="12" s="1"/>
  <c r="K131" i="34"/>
  <c r="K142" i="34"/>
  <c r="K125" i="34"/>
  <c r="K28" i="34" s="1"/>
  <c r="K122" i="34"/>
  <c r="K111" i="34"/>
  <c r="CJ91" i="12" s="1"/>
  <c r="K128" i="34"/>
  <c r="K144" i="34"/>
  <c r="CJ124" i="12" s="1"/>
  <c r="K127" i="34"/>
  <c r="K129" i="34"/>
  <c r="K115" i="34"/>
  <c r="K118" i="34" s="1"/>
  <c r="K124" i="34"/>
  <c r="CJ104" i="12" s="1"/>
  <c r="K141" i="34"/>
  <c r="CJ121" i="12" s="1"/>
  <c r="K146" i="34"/>
  <c r="K132" i="34"/>
  <c r="K147" i="34"/>
  <c r="CJ127" i="12" s="1"/>
  <c r="K112" i="34"/>
  <c r="CJ92" i="12" s="1"/>
  <c r="K135" i="34"/>
  <c r="CJ115" i="12" s="1"/>
  <c r="K130" i="34"/>
  <c r="K110" i="34"/>
  <c r="CJ90" i="12" s="1"/>
  <c r="J148" i="34"/>
  <c r="CI128" i="12" s="1"/>
  <c r="K79" i="34"/>
  <c r="K78" i="34"/>
  <c r="K80" i="34"/>
  <c r="K155" i="12"/>
  <c r="N154" i="12"/>
  <c r="F154" i="12"/>
  <c r="D154" i="12"/>
  <c r="O155" i="12"/>
  <c r="G155" i="12"/>
  <c r="J154" i="12"/>
  <c r="M155" i="12"/>
  <c r="E155" i="12"/>
  <c r="H154" i="12"/>
  <c r="P54" i="34"/>
  <c r="P99" i="34"/>
  <c r="M101" i="34"/>
  <c r="CL168" i="12"/>
  <c r="K140" i="34"/>
  <c r="K139" i="34"/>
  <c r="N52" i="34"/>
  <c r="N97" i="34"/>
  <c r="N101" i="34" s="1"/>
  <c r="N155" i="12"/>
  <c r="F155" i="12"/>
  <c r="I154" i="12"/>
  <c r="H51" i="34"/>
  <c r="L155" i="12"/>
  <c r="O154" i="12"/>
  <c r="G154" i="12"/>
  <c r="J155" i="12"/>
  <c r="M154" i="12"/>
  <c r="E154" i="12"/>
  <c r="D155" i="12"/>
  <c r="H155" i="12"/>
  <c r="K154" i="12"/>
  <c r="L205" i="34"/>
  <c r="L73" i="4" s="1"/>
  <c r="CK169" i="12"/>
  <c r="CK171" i="12" s="1"/>
  <c r="CN165" i="12"/>
  <c r="CN164" i="12"/>
  <c r="CI98" i="12"/>
  <c r="CI95" i="12"/>
  <c r="CG67" i="12"/>
  <c r="CI115" i="12"/>
  <c r="CI126" i="12"/>
  <c r="J34" i="34"/>
  <c r="CI16" i="12" s="1"/>
  <c r="H218" i="34"/>
  <c r="CJ126" i="12"/>
  <c r="P193" i="34"/>
  <c r="P15" i="34"/>
  <c r="P19" i="34" s="1"/>
  <c r="O19" i="34"/>
  <c r="CI125" i="12"/>
  <c r="CI94" i="12"/>
  <c r="M204" i="34"/>
  <c r="O194" i="34"/>
  <c r="P191" i="34"/>
  <c r="M8" i="34"/>
  <c r="L9" i="34"/>
  <c r="O192" i="34"/>
  <c r="L17" i="34"/>
  <c r="M13" i="34"/>
  <c r="CJ7" i="12"/>
  <c r="K18" i="34"/>
  <c r="K33" i="34" s="1"/>
  <c r="CJ15" i="12" s="1"/>
  <c r="CJ12" i="12"/>
  <c r="O7" i="34"/>
  <c r="P6" i="34"/>
  <c r="N202" i="34"/>
  <c r="CM170" i="12" s="1"/>
  <c r="N4" i="34"/>
  <c r="I213" i="34"/>
  <c r="I209" i="34"/>
  <c r="I42" i="34" s="1"/>
  <c r="I44" i="34" s="1"/>
  <c r="I217" i="34"/>
  <c r="I214" i="34"/>
  <c r="I210" i="34"/>
  <c r="I46" i="34" s="1"/>
  <c r="I47" i="34" s="1"/>
  <c r="I215" i="34"/>
  <c r="I211" i="34"/>
  <c r="I48" i="34" s="1"/>
  <c r="I50" i="34" s="1"/>
  <c r="I212" i="34"/>
  <c r="I216" i="34"/>
  <c r="J5" i="34"/>
  <c r="K16" i="34"/>
  <c r="J20" i="34"/>
  <c r="P196" i="34"/>
  <c r="M10" i="34"/>
  <c r="L11" i="34"/>
  <c r="L113" i="34" s="1"/>
  <c r="CK93" i="12" s="1"/>
  <c r="N197" i="34"/>
  <c r="O188" i="34"/>
  <c r="O72" i="4" s="1"/>
  <c r="N199" i="34"/>
  <c r="N200" i="34" s="1"/>
  <c r="G160" i="32"/>
  <c r="AF140" i="33" s="1"/>
  <c r="O160" i="32"/>
  <c r="AN140" i="33" s="1"/>
  <c r="K160" i="32"/>
  <c r="AJ140" i="33" s="1"/>
  <c r="E160" i="32"/>
  <c r="AD140" i="33" s="1"/>
  <c r="M160" i="32"/>
  <c r="AL140" i="33" s="1"/>
  <c r="I160" i="32"/>
  <c r="AH140" i="33" s="1"/>
  <c r="P160" i="32"/>
  <c r="AO140" i="33" s="1"/>
  <c r="N160" i="32"/>
  <c r="AM140" i="33" s="1"/>
  <c r="L160" i="32"/>
  <c r="AK140" i="33" s="1"/>
  <c r="J160" i="32"/>
  <c r="AI140" i="33" s="1"/>
  <c r="H160" i="32"/>
  <c r="AG140" i="33" s="1"/>
  <c r="F160" i="32"/>
  <c r="AE140" i="33" s="1"/>
  <c r="E119" i="32"/>
  <c r="AD99" i="33" s="1"/>
  <c r="F85" i="32"/>
  <c r="AE66" i="33" s="1"/>
  <c r="G85" i="32"/>
  <c r="AF66" i="33" s="1"/>
  <c r="H85" i="32"/>
  <c r="AG66" i="33" s="1"/>
  <c r="I85" i="32"/>
  <c r="AH66" i="33" s="1"/>
  <c r="J85" i="32"/>
  <c r="AI66" i="33" s="1"/>
  <c r="K85" i="32"/>
  <c r="AJ66" i="33" s="1"/>
  <c r="L85" i="32"/>
  <c r="AK66" i="33" s="1"/>
  <c r="M85" i="32"/>
  <c r="AL66" i="33" s="1"/>
  <c r="N85" i="32"/>
  <c r="AM66" i="33" s="1"/>
  <c r="O85" i="32"/>
  <c r="AN66" i="33" s="1"/>
  <c r="P85" i="32"/>
  <c r="AO66" i="33" s="1"/>
  <c r="F87" i="32"/>
  <c r="AE68" i="33" s="1"/>
  <c r="G87" i="32"/>
  <c r="AF68" i="33" s="1"/>
  <c r="H87" i="32"/>
  <c r="AG68" i="33" s="1"/>
  <c r="I87" i="32"/>
  <c r="AH68" i="33" s="1"/>
  <c r="J87" i="32"/>
  <c r="AI68" i="33" s="1"/>
  <c r="K87" i="32"/>
  <c r="AJ68" i="33" s="1"/>
  <c r="L87" i="32"/>
  <c r="AK68" i="33" s="1"/>
  <c r="M87" i="32"/>
  <c r="AL68" i="33" s="1"/>
  <c r="N87" i="32"/>
  <c r="AM68" i="33" s="1"/>
  <c r="O87" i="32"/>
  <c r="AN68" i="33" s="1"/>
  <c r="P87" i="32"/>
  <c r="AO68" i="33" s="1"/>
  <c r="F88" i="32"/>
  <c r="AE69" i="33" s="1"/>
  <c r="G88" i="32"/>
  <c r="AF69" i="33" s="1"/>
  <c r="H88" i="32"/>
  <c r="AG69" i="33" s="1"/>
  <c r="I88" i="32"/>
  <c r="AH69" i="33" s="1"/>
  <c r="J88" i="32"/>
  <c r="AI69" i="33" s="1"/>
  <c r="K88" i="32"/>
  <c r="AJ69" i="33" s="1"/>
  <c r="L88" i="32"/>
  <c r="AK69" i="33" s="1"/>
  <c r="M88" i="32"/>
  <c r="AL69" i="33" s="1"/>
  <c r="N88" i="32"/>
  <c r="AM69" i="33" s="1"/>
  <c r="O88" i="32"/>
  <c r="AN69" i="33" s="1"/>
  <c r="P88" i="32"/>
  <c r="AO69" i="33" s="1"/>
  <c r="F89" i="32"/>
  <c r="AE70" i="33" s="1"/>
  <c r="G89" i="32"/>
  <c r="AF70" i="33" s="1"/>
  <c r="H89" i="32"/>
  <c r="AG70" i="33" s="1"/>
  <c r="I89" i="32"/>
  <c r="AH70" i="33" s="1"/>
  <c r="J89" i="32"/>
  <c r="AI70" i="33" s="1"/>
  <c r="K89" i="32"/>
  <c r="AJ70" i="33" s="1"/>
  <c r="L89" i="32"/>
  <c r="AK70" i="33" s="1"/>
  <c r="M89" i="32"/>
  <c r="AL70" i="33" s="1"/>
  <c r="N89" i="32"/>
  <c r="AM70" i="33" s="1"/>
  <c r="O89" i="32"/>
  <c r="AN70" i="33" s="1"/>
  <c r="P89" i="32"/>
  <c r="AO70" i="33" s="1"/>
  <c r="AE71" i="33"/>
  <c r="AF71" i="33"/>
  <c r="AG71" i="33"/>
  <c r="AH71" i="33"/>
  <c r="AI71" i="33"/>
  <c r="AJ71" i="33"/>
  <c r="AK71" i="33"/>
  <c r="AL71" i="33"/>
  <c r="AM71" i="33"/>
  <c r="AN71" i="33"/>
  <c r="AO71" i="33"/>
  <c r="F91" i="32"/>
  <c r="AE72" i="33" s="1"/>
  <c r="G91" i="32"/>
  <c r="AF72" i="33" s="1"/>
  <c r="H91" i="32"/>
  <c r="AG72" i="33" s="1"/>
  <c r="I91" i="32"/>
  <c r="AH72" i="33" s="1"/>
  <c r="J91" i="32"/>
  <c r="AI72" i="33" s="1"/>
  <c r="K91" i="32"/>
  <c r="AJ72" i="33" s="1"/>
  <c r="L91" i="32"/>
  <c r="AK72" i="33" s="1"/>
  <c r="M91" i="32"/>
  <c r="AL72" i="33" s="1"/>
  <c r="N91" i="32"/>
  <c r="AM72" i="33" s="1"/>
  <c r="O91" i="32"/>
  <c r="AN72" i="33" s="1"/>
  <c r="P91" i="32"/>
  <c r="AO72" i="33" s="1"/>
  <c r="F93" i="32"/>
  <c r="AE74" i="33" s="1"/>
  <c r="G93" i="32"/>
  <c r="AF74" i="33" s="1"/>
  <c r="H93" i="32"/>
  <c r="AG74" i="33" s="1"/>
  <c r="I93" i="32"/>
  <c r="AH74" i="33" s="1"/>
  <c r="J93" i="32"/>
  <c r="AI74" i="33" s="1"/>
  <c r="K93" i="32"/>
  <c r="AJ74" i="33" s="1"/>
  <c r="L93" i="32"/>
  <c r="AK74" i="33" s="1"/>
  <c r="M93" i="32"/>
  <c r="AL74" i="33" s="1"/>
  <c r="N93" i="32"/>
  <c r="AM74" i="33" s="1"/>
  <c r="O93" i="32"/>
  <c r="AN74" i="33" s="1"/>
  <c r="P93" i="32"/>
  <c r="AO74" i="33" s="1"/>
  <c r="F94" i="32"/>
  <c r="AE75" i="33" s="1"/>
  <c r="G94" i="32"/>
  <c r="AF75" i="33" s="1"/>
  <c r="H94" i="32"/>
  <c r="AG75" i="33" s="1"/>
  <c r="I94" i="32"/>
  <c r="AH75" i="33" s="1"/>
  <c r="J94" i="32"/>
  <c r="AI75" i="33" s="1"/>
  <c r="K94" i="32"/>
  <c r="AJ75" i="33" s="1"/>
  <c r="L94" i="32"/>
  <c r="AK75" i="33" s="1"/>
  <c r="M94" i="32"/>
  <c r="AL75" i="33" s="1"/>
  <c r="N94" i="32"/>
  <c r="AM75" i="33" s="1"/>
  <c r="O94" i="32"/>
  <c r="AN75" i="33" s="1"/>
  <c r="P94" i="32"/>
  <c r="AO75" i="33" s="1"/>
  <c r="F97" i="32"/>
  <c r="AE78" i="33" s="1"/>
  <c r="G97" i="32"/>
  <c r="AF78" i="33" s="1"/>
  <c r="H97" i="32"/>
  <c r="AG78" i="33" s="1"/>
  <c r="I97" i="32"/>
  <c r="AH78" i="33" s="1"/>
  <c r="J97" i="32"/>
  <c r="AI78" i="33" s="1"/>
  <c r="K97" i="32"/>
  <c r="AJ78" i="33" s="1"/>
  <c r="L97" i="32"/>
  <c r="AK78" i="33" s="1"/>
  <c r="M97" i="32"/>
  <c r="AL78" i="33" s="1"/>
  <c r="N97" i="32"/>
  <c r="AM78" i="33" s="1"/>
  <c r="O97" i="32"/>
  <c r="AN78" i="33" s="1"/>
  <c r="P97" i="32"/>
  <c r="AO78" i="33" s="1"/>
  <c r="F98" i="32"/>
  <c r="AE79" i="33" s="1"/>
  <c r="G98" i="32"/>
  <c r="AF79" i="33" s="1"/>
  <c r="F99" i="32"/>
  <c r="AE80" i="33" s="1"/>
  <c r="G99" i="32"/>
  <c r="AF80" i="33" s="1"/>
  <c r="F100" i="32"/>
  <c r="AE81" i="33" s="1"/>
  <c r="G100" i="32"/>
  <c r="AF81" i="33" s="1"/>
  <c r="H100" i="32"/>
  <c r="AG81" i="33" s="1"/>
  <c r="I100" i="32"/>
  <c r="AH81" i="33" s="1"/>
  <c r="J100" i="32"/>
  <c r="AI81" i="33" s="1"/>
  <c r="K100" i="32"/>
  <c r="AJ81" i="33" s="1"/>
  <c r="L100" i="32"/>
  <c r="AK81" i="33" s="1"/>
  <c r="M100" i="32"/>
  <c r="AL81" i="33" s="1"/>
  <c r="N100" i="32"/>
  <c r="AM81" i="33" s="1"/>
  <c r="O100" i="32"/>
  <c r="AN81" i="33" s="1"/>
  <c r="P100" i="32"/>
  <c r="AO81" i="33" s="1"/>
  <c r="AE83" i="33"/>
  <c r="AF83" i="33"/>
  <c r="AG83" i="33"/>
  <c r="I102" i="32"/>
  <c r="AH83" i="33" s="1"/>
  <c r="J102" i="32"/>
  <c r="AI83" i="33" s="1"/>
  <c r="K102" i="32"/>
  <c r="AJ83" i="33" s="1"/>
  <c r="L102" i="32"/>
  <c r="AK83" i="33" s="1"/>
  <c r="M102" i="32"/>
  <c r="AL83" i="33" s="1"/>
  <c r="N102" i="32"/>
  <c r="AM83" i="33" s="1"/>
  <c r="O102" i="32"/>
  <c r="AN83" i="33" s="1"/>
  <c r="P102" i="32"/>
  <c r="AO83" i="33" s="1"/>
  <c r="F104" i="32"/>
  <c r="AE84" i="33" s="1"/>
  <c r="G104" i="32"/>
  <c r="AF84" i="33" s="1"/>
  <c r="H104" i="32"/>
  <c r="AG84" i="33" s="1"/>
  <c r="I104" i="32"/>
  <c r="AH84" i="33" s="1"/>
  <c r="J104" i="32"/>
  <c r="AI84" i="33" s="1"/>
  <c r="K104" i="32"/>
  <c r="AJ84" i="33" s="1"/>
  <c r="L104" i="32"/>
  <c r="AK84" i="33" s="1"/>
  <c r="M104" i="32"/>
  <c r="AL84" i="33" s="1"/>
  <c r="N104" i="32"/>
  <c r="AM84" i="33" s="1"/>
  <c r="O104" i="32"/>
  <c r="AN84" i="33" s="1"/>
  <c r="P104" i="32"/>
  <c r="AO84" i="33" s="1"/>
  <c r="F105" i="32"/>
  <c r="AE85" i="33" s="1"/>
  <c r="G105" i="32"/>
  <c r="AF85" i="33" s="1"/>
  <c r="H105" i="32"/>
  <c r="AG85" i="33" s="1"/>
  <c r="I105" i="32"/>
  <c r="AH85" i="33" s="1"/>
  <c r="J105" i="32"/>
  <c r="AI85" i="33" s="1"/>
  <c r="K105" i="32"/>
  <c r="AJ85" i="33" s="1"/>
  <c r="L105" i="32"/>
  <c r="AK85" i="33" s="1"/>
  <c r="M105" i="32"/>
  <c r="AL85" i="33" s="1"/>
  <c r="N105" i="32"/>
  <c r="AM85" i="33" s="1"/>
  <c r="O105" i="32"/>
  <c r="AN85" i="33" s="1"/>
  <c r="P105" i="32"/>
  <c r="AO85" i="33" s="1"/>
  <c r="F106" i="32"/>
  <c r="AE86" i="33" s="1"/>
  <c r="G106" i="32"/>
  <c r="H106" i="32"/>
  <c r="AG86" i="33" s="1"/>
  <c r="I106" i="32"/>
  <c r="AH86" i="33" s="1"/>
  <c r="J106" i="32"/>
  <c r="AI86" i="33" s="1"/>
  <c r="K106" i="32"/>
  <c r="AJ86" i="33" s="1"/>
  <c r="L106" i="32"/>
  <c r="AK86" i="33" s="1"/>
  <c r="M106" i="32"/>
  <c r="AL86" i="33" s="1"/>
  <c r="N106" i="32"/>
  <c r="AM86" i="33" s="1"/>
  <c r="O106" i="32"/>
  <c r="AN86" i="33" s="1"/>
  <c r="P106" i="32"/>
  <c r="AO86" i="33" s="1"/>
  <c r="F107" i="32"/>
  <c r="AE87" i="33" s="1"/>
  <c r="G107" i="32"/>
  <c r="AF87" i="33" s="1"/>
  <c r="H107" i="32"/>
  <c r="AG87" i="33" s="1"/>
  <c r="I107" i="32"/>
  <c r="AH87" i="33" s="1"/>
  <c r="J107" i="32"/>
  <c r="AI87" i="33" s="1"/>
  <c r="K107" i="32"/>
  <c r="AJ87" i="33" s="1"/>
  <c r="L107" i="32"/>
  <c r="AK87" i="33" s="1"/>
  <c r="M107" i="32"/>
  <c r="AL87" i="33" s="1"/>
  <c r="N107" i="32"/>
  <c r="AM87" i="33" s="1"/>
  <c r="O107" i="32"/>
  <c r="AN87" i="33" s="1"/>
  <c r="P107" i="32"/>
  <c r="AO87" i="33" s="1"/>
  <c r="AD83" i="33"/>
  <c r="B214" i="32"/>
  <c r="K29" i="34" l="1"/>
  <c r="L26" i="34"/>
  <c r="L23" i="34"/>
  <c r="O100" i="34"/>
  <c r="L136" i="34"/>
  <c r="L137" i="34"/>
  <c r="CK117" i="12" s="1"/>
  <c r="K31" i="21"/>
  <c r="I96" i="34"/>
  <c r="K145" i="34"/>
  <c r="CJ125" i="12" s="1"/>
  <c r="K148" i="34"/>
  <c r="L110" i="34"/>
  <c r="L135" i="34"/>
  <c r="CK115" i="12" s="1"/>
  <c r="L141" i="34"/>
  <c r="L122" i="34"/>
  <c r="L143" i="34"/>
  <c r="CK123" i="12" s="1"/>
  <c r="L144" i="34"/>
  <c r="CK124" i="12" s="1"/>
  <c r="L146" i="34"/>
  <c r="L112" i="34"/>
  <c r="L128" i="34"/>
  <c r="L132" i="34"/>
  <c r="L125" i="34"/>
  <c r="L28" i="34" s="1"/>
  <c r="L115" i="34"/>
  <c r="L118" i="34" s="1"/>
  <c r="L130" i="34"/>
  <c r="L147" i="34"/>
  <c r="CK127" i="12" s="1"/>
  <c r="L127" i="34"/>
  <c r="L131" i="34"/>
  <c r="L129" i="34"/>
  <c r="L124" i="34"/>
  <c r="CK104" i="12" s="1"/>
  <c r="L111" i="34"/>
  <c r="CK91" i="12" s="1"/>
  <c r="L142" i="34"/>
  <c r="L79" i="34"/>
  <c r="L78" i="34"/>
  <c r="K133" i="34"/>
  <c r="L80" i="34"/>
  <c r="K114" i="34"/>
  <c r="J93" i="34"/>
  <c r="J86" i="34"/>
  <c r="J92" i="34" s="1"/>
  <c r="J94" i="34"/>
  <c r="K126" i="34"/>
  <c r="CJ122" i="12"/>
  <c r="K138" i="34"/>
  <c r="CJ118" i="12" s="1"/>
  <c r="AF86" i="33"/>
  <c r="G108" i="32"/>
  <c r="AF88" i="33" s="1"/>
  <c r="CM168" i="12"/>
  <c r="L140" i="34"/>
  <c r="L139" i="34"/>
  <c r="O52" i="34"/>
  <c r="O97" i="34"/>
  <c r="H55" i="34"/>
  <c r="CL169" i="12"/>
  <c r="CL171" i="12" s="1"/>
  <c r="I51" i="34"/>
  <c r="M205" i="34"/>
  <c r="M73" i="4" s="1"/>
  <c r="CO165" i="12"/>
  <c r="CO164" i="12"/>
  <c r="CH67" i="12"/>
  <c r="CJ98" i="12"/>
  <c r="CJ95" i="12"/>
  <c r="CJ128" i="12"/>
  <c r="P7" i="34"/>
  <c r="M9" i="34"/>
  <c r="M80" i="34" s="1"/>
  <c r="N8" i="34"/>
  <c r="O202" i="34"/>
  <c r="CN170" i="12" s="1"/>
  <c r="N204" i="34"/>
  <c r="K20" i="34"/>
  <c r="L16" i="34"/>
  <c r="J217" i="34"/>
  <c r="J210" i="34"/>
  <c r="J46" i="34" s="1"/>
  <c r="J47" i="34" s="1"/>
  <c r="J211" i="34"/>
  <c r="J48" i="34" s="1"/>
  <c r="J50" i="34" s="1"/>
  <c r="J216" i="34"/>
  <c r="J215" i="34"/>
  <c r="J209" i="34"/>
  <c r="J42" i="34" s="1"/>
  <c r="J44" i="34" s="1"/>
  <c r="J212" i="34"/>
  <c r="J214" i="34"/>
  <c r="J213" i="34"/>
  <c r="K5" i="34"/>
  <c r="CK90" i="12"/>
  <c r="CK121" i="12"/>
  <c r="CK116" i="12"/>
  <c r="CK92" i="12"/>
  <c r="O4" i="34"/>
  <c r="M17" i="34"/>
  <c r="N13" i="34"/>
  <c r="N10" i="34"/>
  <c r="M11" i="34"/>
  <c r="M113" i="34" s="1"/>
  <c r="CL93" i="12" s="1"/>
  <c r="K34" i="34"/>
  <c r="CJ16" i="12" s="1"/>
  <c r="L18" i="34"/>
  <c r="L33" i="34" s="1"/>
  <c r="CK15" i="12" s="1"/>
  <c r="CK7" i="12"/>
  <c r="CK12" i="12"/>
  <c r="P188" i="34"/>
  <c r="P72" i="4" s="1"/>
  <c r="O199" i="34"/>
  <c r="O200" i="34" s="1"/>
  <c r="O197" i="34"/>
  <c r="I218" i="34"/>
  <c r="P192" i="34"/>
  <c r="P194" i="34"/>
  <c r="CJ94" i="12"/>
  <c r="N108" i="32"/>
  <c r="AM88" i="33" s="1"/>
  <c r="F108" i="32"/>
  <c r="AE88" i="33" s="1"/>
  <c r="J108" i="32"/>
  <c r="AI88" i="33" s="1"/>
  <c r="P108" i="32"/>
  <c r="AO88" i="33" s="1"/>
  <c r="L108" i="32"/>
  <c r="AK88" i="33" s="1"/>
  <c r="H108" i="32"/>
  <c r="AG88" i="33" s="1"/>
  <c r="O108" i="32"/>
  <c r="AN88" i="33" s="1"/>
  <c r="M108" i="32"/>
  <c r="AL88" i="33" s="1"/>
  <c r="K108" i="32"/>
  <c r="AJ88" i="33" s="1"/>
  <c r="I108" i="32"/>
  <c r="AH88" i="33" s="1"/>
  <c r="F101" i="32"/>
  <c r="AE82" i="33" s="1"/>
  <c r="G101" i="32"/>
  <c r="AF82" i="33" s="1"/>
  <c r="O101" i="34" l="1"/>
  <c r="L29" i="34"/>
  <c r="P202" i="34"/>
  <c r="CO170" i="12" s="1"/>
  <c r="L31" i="21"/>
  <c r="M26" i="34"/>
  <c r="M23" i="34"/>
  <c r="M136" i="34"/>
  <c r="M137" i="34"/>
  <c r="CL117" i="12" s="1"/>
  <c r="L145" i="34"/>
  <c r="CK125" i="12" s="1"/>
  <c r="L148" i="34"/>
  <c r="CK128" i="12" s="1"/>
  <c r="CK126" i="12"/>
  <c r="J96" i="34"/>
  <c r="L126" i="34"/>
  <c r="M110" i="34"/>
  <c r="M141" i="34"/>
  <c r="CL121" i="12" s="1"/>
  <c r="M122" i="34"/>
  <c r="M125" i="34"/>
  <c r="M28" i="34" s="1"/>
  <c r="M130" i="34"/>
  <c r="M124" i="34"/>
  <c r="CL104" i="12" s="1"/>
  <c r="M131" i="34"/>
  <c r="M132" i="34"/>
  <c r="M111" i="34"/>
  <c r="CL91" i="12" s="1"/>
  <c r="M142" i="34"/>
  <c r="CL122" i="12" s="1"/>
  <c r="M143" i="34"/>
  <c r="CL123" i="12" s="1"/>
  <c r="M146" i="34"/>
  <c r="M127" i="34"/>
  <c r="M128" i="34"/>
  <c r="M129" i="34"/>
  <c r="M135" i="34"/>
  <c r="M115" i="34"/>
  <c r="M118" i="34" s="1"/>
  <c r="M147" i="34"/>
  <c r="CL127" i="12" s="1"/>
  <c r="M144" i="34"/>
  <c r="CL124" i="12" s="1"/>
  <c r="M112" i="34"/>
  <c r="CL92" i="12" s="1"/>
  <c r="M79" i="34"/>
  <c r="M78" i="34"/>
  <c r="L138" i="34"/>
  <c r="K86" i="34"/>
  <c r="K92" i="34" s="1"/>
  <c r="K94" i="34"/>
  <c r="K93" i="34"/>
  <c r="L133" i="34"/>
  <c r="L114" i="34"/>
  <c r="CK94" i="12" s="1"/>
  <c r="M139" i="34"/>
  <c r="M140" i="34"/>
  <c r="I55" i="34"/>
  <c r="CN168" i="12"/>
  <c r="P97" i="34"/>
  <c r="P52" i="34"/>
  <c r="CM169" i="12"/>
  <c r="CM171" i="12" s="1"/>
  <c r="P100" i="34"/>
  <c r="J51" i="34"/>
  <c r="CK98" i="12"/>
  <c r="CK95" i="12"/>
  <c r="CI67" i="12"/>
  <c r="CK122" i="12"/>
  <c r="P197" i="34"/>
  <c r="P199" i="34"/>
  <c r="P200" i="34" s="1"/>
  <c r="N9" i="34"/>
  <c r="N80" i="34" s="1"/>
  <c r="O8" i="34"/>
  <c r="N205" i="34"/>
  <c r="N73" i="4" s="1"/>
  <c r="K210" i="34"/>
  <c r="K46" i="34" s="1"/>
  <c r="K47" i="34" s="1"/>
  <c r="K216" i="34"/>
  <c r="K217" i="34"/>
  <c r="K211" i="34"/>
  <c r="K48" i="34" s="1"/>
  <c r="K50" i="34" s="1"/>
  <c r="K214" i="34"/>
  <c r="K212" i="34"/>
  <c r="K215" i="34"/>
  <c r="K209" i="34"/>
  <c r="K42" i="34" s="1"/>
  <c r="K44" i="34" s="1"/>
  <c r="K213" i="34"/>
  <c r="L5" i="34"/>
  <c r="CL116" i="12"/>
  <c r="CL90" i="12"/>
  <c r="O204" i="34"/>
  <c r="O10" i="34"/>
  <c r="N11" i="34"/>
  <c r="N113" i="34" s="1"/>
  <c r="CM93" i="12" s="1"/>
  <c r="P4" i="34"/>
  <c r="CK118" i="12"/>
  <c r="L34" i="34"/>
  <c r="CK16" i="12" s="1"/>
  <c r="N17" i="34"/>
  <c r="O13" i="34"/>
  <c r="M18" i="34"/>
  <c r="M33" i="34" s="1"/>
  <c r="CL15" i="12" s="1"/>
  <c r="CL12" i="12"/>
  <c r="CL7" i="12"/>
  <c r="J218" i="34"/>
  <c r="L20" i="34"/>
  <c r="M16" i="34"/>
  <c r="E33" i="4"/>
  <c r="E34" i="4" s="1"/>
  <c r="E11" i="4"/>
  <c r="E12" i="4" s="1"/>
  <c r="M29" i="34" l="1"/>
  <c r="N136" i="34"/>
  <c r="N137" i="34"/>
  <c r="M31" i="21"/>
  <c r="M138" i="34"/>
  <c r="CL118" i="12" s="1"/>
  <c r="N26" i="34"/>
  <c r="N23" i="34"/>
  <c r="K96" i="34"/>
  <c r="M126" i="34"/>
  <c r="M145" i="34"/>
  <c r="CL125" i="12" s="1"/>
  <c r="M114" i="34"/>
  <c r="L94" i="34"/>
  <c r="L93" i="34"/>
  <c r="L86" i="34"/>
  <c r="L92" i="34" s="1"/>
  <c r="N79" i="34"/>
  <c r="N78" i="34"/>
  <c r="N124" i="34"/>
  <c r="CM104" i="12" s="1"/>
  <c r="N143" i="34"/>
  <c r="CM123" i="12" s="1"/>
  <c r="N122" i="34"/>
  <c r="N115" i="34"/>
  <c r="N118" i="34" s="1"/>
  <c r="N128" i="34"/>
  <c r="N135" i="34"/>
  <c r="CM115" i="12" s="1"/>
  <c r="N131" i="34"/>
  <c r="N144" i="34"/>
  <c r="CM124" i="12" s="1"/>
  <c r="N141" i="34"/>
  <c r="CM121" i="12" s="1"/>
  <c r="N112" i="34"/>
  <c r="CM92" i="12" s="1"/>
  <c r="N146" i="34"/>
  <c r="N147" i="34"/>
  <c r="CM127" i="12" s="1"/>
  <c r="N129" i="34"/>
  <c r="N110" i="34"/>
  <c r="N132" i="34"/>
  <c r="N127" i="34"/>
  <c r="N111" i="34"/>
  <c r="CM91" i="12" s="1"/>
  <c r="N142" i="34"/>
  <c r="N130" i="34"/>
  <c r="N125" i="34"/>
  <c r="N28" i="34" s="1"/>
  <c r="M133" i="34"/>
  <c r="K51" i="34"/>
  <c r="M148" i="34"/>
  <c r="CL128" i="12" s="1"/>
  <c r="J55" i="34"/>
  <c r="CN169" i="12"/>
  <c r="CN171" i="12" s="1"/>
  <c r="P101" i="34"/>
  <c r="CO168" i="12"/>
  <c r="N139" i="34"/>
  <c r="N140" i="34"/>
  <c r="O205" i="34"/>
  <c r="O73" i="4" s="1"/>
  <c r="F3" i="4"/>
  <c r="CL126" i="12"/>
  <c r="CJ67" i="12"/>
  <c r="CL98" i="12"/>
  <c r="CL95" i="12"/>
  <c r="CL115" i="12"/>
  <c r="CL94" i="12"/>
  <c r="P10" i="34"/>
  <c r="O11" i="34"/>
  <c r="O113" i="34" s="1"/>
  <c r="CN93" i="12" s="1"/>
  <c r="L210" i="34"/>
  <c r="L46" i="34" s="1"/>
  <c r="L47" i="34" s="1"/>
  <c r="L211" i="34"/>
  <c r="L48" i="34" s="1"/>
  <c r="L50" i="34" s="1"/>
  <c r="L216" i="34"/>
  <c r="L217" i="34"/>
  <c r="L212" i="34"/>
  <c r="L214" i="34"/>
  <c r="L209" i="34"/>
  <c r="L42" i="34" s="1"/>
  <c r="L44" i="34" s="1"/>
  <c r="L213" i="34"/>
  <c r="L215" i="34"/>
  <c r="M5" i="34"/>
  <c r="CM117" i="12"/>
  <c r="CM116" i="12"/>
  <c r="K218" i="34"/>
  <c r="O17" i="34"/>
  <c r="P13" i="34"/>
  <c r="P17" i="34" s="1"/>
  <c r="CM7" i="12"/>
  <c r="N18" i="34"/>
  <c r="N33" i="34" s="1"/>
  <c r="CM15" i="12" s="1"/>
  <c r="CM12" i="12"/>
  <c r="N16" i="34"/>
  <c r="M20" i="34"/>
  <c r="M34" i="34"/>
  <c r="CL16" i="12" s="1"/>
  <c r="O9" i="34"/>
  <c r="O80" i="34" s="1"/>
  <c r="P8" i="34"/>
  <c r="P204" i="34"/>
  <c r="F11" i="4"/>
  <c r="L51" i="34" l="1"/>
  <c r="P9" i="34"/>
  <c r="P79" i="34" s="1"/>
  <c r="N29" i="34"/>
  <c r="N31" i="21"/>
  <c r="P26" i="34"/>
  <c r="P23" i="34"/>
  <c r="O137" i="34"/>
  <c r="CN117" i="12" s="1"/>
  <c r="O136" i="34"/>
  <c r="CN116" i="12" s="1"/>
  <c r="N145" i="34"/>
  <c r="CM125" i="12" s="1"/>
  <c r="O26" i="34"/>
  <c r="O23" i="34"/>
  <c r="L96" i="34"/>
  <c r="N148" i="34"/>
  <c r="CM126" i="12"/>
  <c r="N114" i="34"/>
  <c r="CM94" i="12" s="1"/>
  <c r="N138" i="34"/>
  <c r="CM118" i="12" s="1"/>
  <c r="P11" i="34"/>
  <c r="P113" i="34" s="1"/>
  <c r="CO93" i="12" s="1"/>
  <c r="O147" i="34"/>
  <c r="O124" i="34"/>
  <c r="CN104" i="12" s="1"/>
  <c r="O111" i="34"/>
  <c r="O112" i="34"/>
  <c r="O143" i="34"/>
  <c r="CN123" i="12" s="1"/>
  <c r="O131" i="34"/>
  <c r="O115" i="34"/>
  <c r="O118" i="34" s="1"/>
  <c r="O110" i="34"/>
  <c r="CN90" i="12" s="1"/>
  <c r="O128" i="34"/>
  <c r="O130" i="34"/>
  <c r="O144" i="34"/>
  <c r="CN124" i="12" s="1"/>
  <c r="O141" i="34"/>
  <c r="CN121" i="12" s="1"/>
  <c r="O129" i="34"/>
  <c r="O142" i="34"/>
  <c r="CN122" i="12" s="1"/>
  <c r="O122" i="34"/>
  <c r="O135" i="34"/>
  <c r="CN115" i="12" s="1"/>
  <c r="O146" i="34"/>
  <c r="O148" i="34" s="1"/>
  <c r="O127" i="34"/>
  <c r="O125" i="34"/>
  <c r="O28" i="34" s="1"/>
  <c r="O29" i="34" s="1"/>
  <c r="O132" i="34"/>
  <c r="K55" i="34"/>
  <c r="N126" i="34"/>
  <c r="N133" i="34"/>
  <c r="CM90" i="12"/>
  <c r="M93" i="34"/>
  <c r="M86" i="34"/>
  <c r="M92" i="34" s="1"/>
  <c r="M94" i="34"/>
  <c r="O79" i="34"/>
  <c r="O78" i="34"/>
  <c r="O139" i="34"/>
  <c r="O140" i="34"/>
  <c r="CO169" i="12"/>
  <c r="CO171" i="12" s="1"/>
  <c r="P80" i="34"/>
  <c r="L55" i="34"/>
  <c r="G3" i="4"/>
  <c r="CM122" i="12"/>
  <c r="CM98" i="12"/>
  <c r="CM95" i="12"/>
  <c r="CK67" i="12"/>
  <c r="P205" i="34"/>
  <c r="P73" i="4" s="1"/>
  <c r="N20" i="34"/>
  <c r="O16" i="34"/>
  <c r="M210" i="34"/>
  <c r="M46" i="34" s="1"/>
  <c r="M47" i="34" s="1"/>
  <c r="M211" i="34"/>
  <c r="M48" i="34" s="1"/>
  <c r="M50" i="34" s="1"/>
  <c r="M216" i="34"/>
  <c r="M214" i="34"/>
  <c r="M217" i="34"/>
  <c r="M212" i="34"/>
  <c r="M215" i="34"/>
  <c r="M213" i="34"/>
  <c r="M209" i="34"/>
  <c r="M42" i="34" s="1"/>
  <c r="M44" i="34" s="1"/>
  <c r="N5" i="34"/>
  <c r="CM128" i="12"/>
  <c r="O18" i="34"/>
  <c r="O33" i="34" s="1"/>
  <c r="CN15" i="12" s="1"/>
  <c r="CN7" i="12"/>
  <c r="CO12" i="12"/>
  <c r="CO7" i="12"/>
  <c r="P18" i="34"/>
  <c r="P33" i="34" s="1"/>
  <c r="CO15" i="12" s="1"/>
  <c r="L218" i="34"/>
  <c r="N34" i="34"/>
  <c r="CM16" i="12" s="1"/>
  <c r="CN91" i="12"/>
  <c r="CN92" i="12"/>
  <c r="CN127" i="12"/>
  <c r="F54" i="4"/>
  <c r="G54" i="4"/>
  <c r="H54" i="4"/>
  <c r="I54" i="4"/>
  <c r="J54" i="4"/>
  <c r="K54" i="4"/>
  <c r="L54" i="4"/>
  <c r="M54" i="4"/>
  <c r="N54" i="4"/>
  <c r="O54" i="4"/>
  <c r="P54" i="4"/>
  <c r="E54" i="4"/>
  <c r="P78" i="34" l="1"/>
  <c r="M96" i="34"/>
  <c r="O31" i="21"/>
  <c r="P136" i="34"/>
  <c r="P137" i="34"/>
  <c r="CO117" i="12" s="1"/>
  <c r="O133" i="34"/>
  <c r="O138" i="34"/>
  <c r="O114" i="34"/>
  <c r="CN94" i="12" s="1"/>
  <c r="N86" i="34"/>
  <c r="N92" i="34" s="1"/>
  <c r="N94" i="34"/>
  <c r="N93" i="34"/>
  <c r="O126" i="34"/>
  <c r="O145" i="34"/>
  <c r="CN125" i="12" s="1"/>
  <c r="P129" i="34"/>
  <c r="P132" i="34"/>
  <c r="P124" i="34"/>
  <c r="CO104" i="12" s="1"/>
  <c r="P147" i="34"/>
  <c r="CO127" i="12" s="1"/>
  <c r="P122" i="34"/>
  <c r="P130" i="34"/>
  <c r="P125" i="34"/>
  <c r="P28" i="34" s="1"/>
  <c r="P29" i="34" s="1"/>
  <c r="CO116" i="12"/>
  <c r="P112" i="34"/>
  <c r="CO92" i="12" s="1"/>
  <c r="P143" i="34"/>
  <c r="CO123" i="12" s="1"/>
  <c r="P146" i="34"/>
  <c r="P110" i="34"/>
  <c r="P142" i="34"/>
  <c r="P128" i="34"/>
  <c r="P131" i="34"/>
  <c r="P127" i="34"/>
  <c r="P111" i="34"/>
  <c r="CO91" i="12" s="1"/>
  <c r="P141" i="34"/>
  <c r="CO121" i="12" s="1"/>
  <c r="P115" i="34"/>
  <c r="P118" i="34" s="1"/>
  <c r="CO98" i="12" s="1"/>
  <c r="P135" i="34"/>
  <c r="P144" i="34"/>
  <c r="CO124" i="12" s="1"/>
  <c r="M51" i="34"/>
  <c r="P139" i="34"/>
  <c r="P140" i="34"/>
  <c r="H3" i="4"/>
  <c r="CN128" i="12"/>
  <c r="CN126" i="12"/>
  <c r="O34" i="34"/>
  <c r="CN16" i="12" s="1"/>
  <c r="CN12" i="12"/>
  <c r="CL67" i="12"/>
  <c r="CN98" i="12"/>
  <c r="CN95" i="12"/>
  <c r="CN118" i="12"/>
  <c r="P34" i="34"/>
  <c r="CO16" i="12" s="1"/>
  <c r="P16" i="34"/>
  <c r="P20" i="34" s="1"/>
  <c r="O20" i="34"/>
  <c r="M218" i="34"/>
  <c r="N210" i="34"/>
  <c r="N46" i="34" s="1"/>
  <c r="N47" i="34" s="1"/>
  <c r="N216" i="34"/>
  <c r="N211" i="34"/>
  <c r="N48" i="34" s="1"/>
  <c r="N50" i="34" s="1"/>
  <c r="N212" i="34"/>
  <c r="N214" i="34"/>
  <c r="N217" i="34"/>
  <c r="N215" i="34"/>
  <c r="N213" i="34"/>
  <c r="N209" i="34"/>
  <c r="N42" i="34" s="1"/>
  <c r="N44" i="34" s="1"/>
  <c r="O5" i="34"/>
  <c r="AE4" i="33"/>
  <c r="AF4" i="33"/>
  <c r="AG4" i="33"/>
  <c r="AH4" i="33"/>
  <c r="AI4" i="33"/>
  <c r="AJ4" i="33"/>
  <c r="AK4" i="33"/>
  <c r="AL4" i="33"/>
  <c r="AM4" i="33"/>
  <c r="AN4" i="33"/>
  <c r="AO4" i="33"/>
  <c r="AD4" i="33"/>
  <c r="R4" i="33"/>
  <c r="S4" i="33"/>
  <c r="T4" i="33"/>
  <c r="U4" i="33"/>
  <c r="V4" i="33"/>
  <c r="W4" i="33"/>
  <c r="X4" i="33"/>
  <c r="Y4" i="33"/>
  <c r="Z4" i="33"/>
  <c r="AA4" i="33"/>
  <c r="AB4" i="33"/>
  <c r="Q4" i="33"/>
  <c r="BR4" i="12"/>
  <c r="BS4" i="12"/>
  <c r="BT4" i="12"/>
  <c r="BU4" i="12"/>
  <c r="BV4" i="12"/>
  <c r="BW4" i="12"/>
  <c r="BX4" i="12"/>
  <c r="BY4" i="12"/>
  <c r="BZ4" i="12"/>
  <c r="CA4" i="12"/>
  <c r="CB4" i="12"/>
  <c r="BQ4" i="12"/>
  <c r="BE4" i="12"/>
  <c r="BF4" i="12"/>
  <c r="BG4" i="12"/>
  <c r="BH4" i="12"/>
  <c r="BI4" i="12"/>
  <c r="BJ4" i="12"/>
  <c r="BK4" i="12"/>
  <c r="BL4" i="12"/>
  <c r="BM4" i="12"/>
  <c r="BN4" i="12"/>
  <c r="BO4" i="12"/>
  <c r="BD4" i="12"/>
  <c r="AR4" i="12"/>
  <c r="AS4" i="12"/>
  <c r="AT4" i="12"/>
  <c r="AU4" i="12"/>
  <c r="AV4" i="12"/>
  <c r="AW4" i="12"/>
  <c r="AX4" i="12"/>
  <c r="AY4" i="12"/>
  <c r="AZ4" i="12"/>
  <c r="BA4" i="12"/>
  <c r="BB4" i="12"/>
  <c r="AQ4" i="12"/>
  <c r="AE4" i="12"/>
  <c r="AF4" i="12"/>
  <c r="AG4" i="12"/>
  <c r="AH4" i="12"/>
  <c r="AI4" i="12"/>
  <c r="AJ4" i="12"/>
  <c r="AK4" i="12"/>
  <c r="AL4" i="12"/>
  <c r="AM4" i="12"/>
  <c r="AN4" i="12"/>
  <c r="AO4" i="12"/>
  <c r="AD4" i="12"/>
  <c r="R4" i="12"/>
  <c r="CE4" i="12" s="1"/>
  <c r="S4" i="12"/>
  <c r="CF4" i="12" s="1"/>
  <c r="T4" i="12"/>
  <c r="CG4" i="12" s="1"/>
  <c r="U4" i="12"/>
  <c r="CH4" i="12" s="1"/>
  <c r="V4" i="12"/>
  <c r="CI4" i="12" s="1"/>
  <c r="W4" i="12"/>
  <c r="CJ4" i="12" s="1"/>
  <c r="X4" i="12"/>
  <c r="CK4" i="12" s="1"/>
  <c r="Y4" i="12"/>
  <c r="CL4" i="12" s="1"/>
  <c r="Z4" i="12"/>
  <c r="CM4" i="12" s="1"/>
  <c r="AA4" i="12"/>
  <c r="CN4" i="12" s="1"/>
  <c r="AB4" i="12"/>
  <c r="CO4" i="12" s="1"/>
  <c r="Q4" i="12"/>
  <c r="CD4" i="12" s="1"/>
  <c r="N96" i="34" l="1"/>
  <c r="N51" i="34"/>
  <c r="CO95" i="12"/>
  <c r="P145" i="34"/>
  <c r="CO125" i="12" s="1"/>
  <c r="P138" i="34"/>
  <c r="CO118" i="12" s="1"/>
  <c r="CO115" i="12"/>
  <c r="P114" i="34"/>
  <c r="CO94" i="12" s="1"/>
  <c r="CO90" i="12"/>
  <c r="P126" i="34"/>
  <c r="P148" i="34"/>
  <c r="CO128" i="12" s="1"/>
  <c r="CO126" i="12"/>
  <c r="M55" i="34"/>
  <c r="CO122" i="12"/>
  <c r="O93" i="34"/>
  <c r="O86" i="34"/>
  <c r="O92" i="34" s="1"/>
  <c r="O94" i="34"/>
  <c r="P133" i="34"/>
  <c r="N55" i="34"/>
  <c r="I3" i="4"/>
  <c r="CM67" i="12"/>
  <c r="N218" i="34"/>
  <c r="O210" i="34"/>
  <c r="O46" i="34" s="1"/>
  <c r="O47" i="34" s="1"/>
  <c r="O216" i="34"/>
  <c r="O211" i="34"/>
  <c r="O48" i="34" s="1"/>
  <c r="O50" i="34" s="1"/>
  <c r="O217" i="34"/>
  <c r="O212" i="34"/>
  <c r="O214" i="34"/>
  <c r="O215" i="34"/>
  <c r="O209" i="34"/>
  <c r="O42" i="34" s="1"/>
  <c r="O44" i="34" s="1"/>
  <c r="O213" i="34"/>
  <c r="P5" i="34"/>
  <c r="AB19" i="33"/>
  <c r="O19" i="33" s="1"/>
  <c r="AA19" i="33"/>
  <c r="N19" i="33" s="1"/>
  <c r="Z19" i="33"/>
  <c r="M19" i="33" s="1"/>
  <c r="Y19" i="33"/>
  <c r="L19" i="33" s="1"/>
  <c r="X19" i="33"/>
  <c r="K19" i="33" s="1"/>
  <c r="W19" i="33"/>
  <c r="J19" i="33" s="1"/>
  <c r="V19" i="33"/>
  <c r="I19" i="33" s="1"/>
  <c r="U19" i="33"/>
  <c r="H19" i="33" s="1"/>
  <c r="T19" i="33"/>
  <c r="G19" i="33" s="1"/>
  <c r="S19" i="33"/>
  <c r="F19" i="33" s="1"/>
  <c r="R19" i="33"/>
  <c r="E19" i="33" s="1"/>
  <c r="AB18" i="33"/>
  <c r="O18" i="33" s="1"/>
  <c r="AA18" i="33"/>
  <c r="N18" i="33" s="1"/>
  <c r="Z18" i="33"/>
  <c r="M18" i="33" s="1"/>
  <c r="Y18" i="33"/>
  <c r="L18" i="33" s="1"/>
  <c r="X18" i="33"/>
  <c r="K18" i="33" s="1"/>
  <c r="W18" i="33"/>
  <c r="J18" i="33" s="1"/>
  <c r="V18" i="33"/>
  <c r="I18" i="33" s="1"/>
  <c r="U18" i="33"/>
  <c r="H18" i="33" s="1"/>
  <c r="T18" i="33"/>
  <c r="G18" i="33" s="1"/>
  <c r="S18" i="33"/>
  <c r="F18" i="33" s="1"/>
  <c r="R18" i="33"/>
  <c r="E18" i="33" s="1"/>
  <c r="AB17" i="33"/>
  <c r="AA17" i="33"/>
  <c r="Z17" i="33"/>
  <c r="Y17" i="33"/>
  <c r="X17" i="33"/>
  <c r="W17" i="33"/>
  <c r="V17" i="33"/>
  <c r="U17" i="33"/>
  <c r="T17" i="33"/>
  <c r="S17" i="33"/>
  <c r="R17" i="33"/>
  <c r="T15" i="33"/>
  <c r="G15" i="33" s="1"/>
  <c r="S15" i="33"/>
  <c r="F15" i="33" s="1"/>
  <c r="R15" i="33"/>
  <c r="E15" i="33" s="1"/>
  <c r="AB14" i="33"/>
  <c r="O14" i="33" s="1"/>
  <c r="AA14" i="33"/>
  <c r="N14" i="33" s="1"/>
  <c r="Z14" i="33"/>
  <c r="M14" i="33" s="1"/>
  <c r="Y14" i="33"/>
  <c r="L14" i="33" s="1"/>
  <c r="X14" i="33"/>
  <c r="K14" i="33" s="1"/>
  <c r="W14" i="33"/>
  <c r="J14" i="33" s="1"/>
  <c r="V14" i="33"/>
  <c r="I14" i="33" s="1"/>
  <c r="U14" i="33"/>
  <c r="H14" i="33" s="1"/>
  <c r="T14" i="33"/>
  <c r="G14" i="33" s="1"/>
  <c r="S14" i="33"/>
  <c r="F14" i="33" s="1"/>
  <c r="R14" i="33"/>
  <c r="E14" i="33" s="1"/>
  <c r="AB13" i="33"/>
  <c r="O13" i="33" s="1"/>
  <c r="AA13" i="33"/>
  <c r="N13" i="33" s="1"/>
  <c r="Z13" i="33"/>
  <c r="M13" i="33" s="1"/>
  <c r="Y13" i="33"/>
  <c r="L13" i="33" s="1"/>
  <c r="X13" i="33"/>
  <c r="K13" i="33" s="1"/>
  <c r="W13" i="33"/>
  <c r="J13" i="33" s="1"/>
  <c r="V13" i="33"/>
  <c r="I13" i="33" s="1"/>
  <c r="U13" i="33"/>
  <c r="H13" i="33" s="1"/>
  <c r="T13" i="33"/>
  <c r="G13" i="33" s="1"/>
  <c r="S13" i="33"/>
  <c r="F13" i="33" s="1"/>
  <c r="R13" i="33"/>
  <c r="E13" i="33" s="1"/>
  <c r="P86" i="34" l="1"/>
  <c r="P92" i="34" s="1"/>
  <c r="P94" i="34"/>
  <c r="P93" i="34"/>
  <c r="O96" i="34"/>
  <c r="O51" i="34"/>
  <c r="J3" i="4"/>
  <c r="CN67" i="12"/>
  <c r="O218" i="34"/>
  <c r="P210" i="34"/>
  <c r="P46" i="34" s="1"/>
  <c r="P47" i="34" s="1"/>
  <c r="P211" i="34"/>
  <c r="P48" i="34" s="1"/>
  <c r="P50" i="34" s="1"/>
  <c r="P216" i="34"/>
  <c r="P214" i="34"/>
  <c r="P212" i="34"/>
  <c r="P51" i="34" s="1"/>
  <c r="P217" i="34"/>
  <c r="P209" i="34"/>
  <c r="P42" i="34" s="1"/>
  <c r="P44" i="34" s="1"/>
  <c r="P215" i="34"/>
  <c r="P213" i="34"/>
  <c r="Q17" i="33"/>
  <c r="Q18" i="33"/>
  <c r="P96" i="34" l="1"/>
  <c r="O55" i="34"/>
  <c r="P55" i="34"/>
  <c r="K3" i="4"/>
  <c r="CO67" i="12"/>
  <c r="P218" i="34"/>
  <c r="Q15" i="33"/>
  <c r="D15" i="33" s="1"/>
  <c r="Q13" i="33"/>
  <c r="D13" i="33" s="1"/>
  <c r="Q14" i="33"/>
  <c r="D14" i="33" s="1"/>
  <c r="Q19" i="33"/>
  <c r="D19" i="33" s="1"/>
  <c r="F179" i="32"/>
  <c r="G179" i="32"/>
  <c r="H179" i="32"/>
  <c r="I179" i="32"/>
  <c r="J179" i="32"/>
  <c r="K179" i="32"/>
  <c r="L179" i="32"/>
  <c r="M179" i="32"/>
  <c r="N179" i="32"/>
  <c r="O179" i="32"/>
  <c r="P179" i="32"/>
  <c r="E179" i="32"/>
  <c r="E98" i="32"/>
  <c r="AD79" i="33" s="1"/>
  <c r="L3" i="4" l="1"/>
  <c r="A210" i="32"/>
  <c r="A210" i="27"/>
  <c r="A210" i="28"/>
  <c r="A210" i="29"/>
  <c r="A210" i="30"/>
  <c r="A210" i="26"/>
  <c r="F41" i="26"/>
  <c r="G41" i="26"/>
  <c r="H41" i="26"/>
  <c r="I41" i="26"/>
  <c r="J41" i="26"/>
  <c r="K41" i="26"/>
  <c r="L41" i="26"/>
  <c r="M41" i="26"/>
  <c r="N41" i="26"/>
  <c r="O41" i="26"/>
  <c r="P41" i="26"/>
  <c r="F41" i="27"/>
  <c r="G41" i="27"/>
  <c r="H41" i="27"/>
  <c r="I41" i="27"/>
  <c r="J41" i="27"/>
  <c r="K41" i="27"/>
  <c r="L41" i="27"/>
  <c r="M41" i="27"/>
  <c r="N41" i="27"/>
  <c r="O41" i="27"/>
  <c r="P41" i="27"/>
  <c r="F41" i="28"/>
  <c r="G41" i="28"/>
  <c r="H41" i="28"/>
  <c r="I41" i="28"/>
  <c r="J41" i="28"/>
  <c r="K41" i="28"/>
  <c r="L41" i="28"/>
  <c r="M41" i="28"/>
  <c r="N41" i="28"/>
  <c r="O41" i="28"/>
  <c r="P41" i="28"/>
  <c r="F41" i="29"/>
  <c r="G41" i="29"/>
  <c r="H41" i="29"/>
  <c r="I41" i="29"/>
  <c r="J41" i="29"/>
  <c r="K41" i="29"/>
  <c r="L41" i="29"/>
  <c r="M41" i="29"/>
  <c r="N41" i="29"/>
  <c r="O41" i="29"/>
  <c r="P41" i="29"/>
  <c r="F41" i="30"/>
  <c r="G41" i="30"/>
  <c r="H41" i="30"/>
  <c r="I41" i="30"/>
  <c r="J41" i="30"/>
  <c r="K41" i="30"/>
  <c r="L41" i="30"/>
  <c r="M41" i="30"/>
  <c r="N41" i="30"/>
  <c r="O41" i="30"/>
  <c r="P41" i="30"/>
  <c r="F41" i="32"/>
  <c r="G41" i="32"/>
  <c r="H41" i="32"/>
  <c r="I41" i="32"/>
  <c r="J41" i="32"/>
  <c r="K41" i="32"/>
  <c r="L41" i="32"/>
  <c r="M41" i="32"/>
  <c r="N41" i="32"/>
  <c r="O41" i="32"/>
  <c r="P41" i="32"/>
  <c r="F22" i="26"/>
  <c r="G22" i="26"/>
  <c r="H22" i="26"/>
  <c r="I22" i="26"/>
  <c r="J22" i="26"/>
  <c r="K22" i="26"/>
  <c r="L22" i="26"/>
  <c r="M22" i="26"/>
  <c r="N22" i="26"/>
  <c r="O22" i="26"/>
  <c r="P22" i="26"/>
  <c r="F22" i="27"/>
  <c r="G22" i="27"/>
  <c r="H22" i="27"/>
  <c r="I22" i="27"/>
  <c r="J22" i="27"/>
  <c r="K22" i="27"/>
  <c r="L22" i="27"/>
  <c r="M22" i="27"/>
  <c r="N22" i="27"/>
  <c r="O22" i="27"/>
  <c r="P22" i="27"/>
  <c r="F22" i="28"/>
  <c r="G22" i="28"/>
  <c r="H22" i="28"/>
  <c r="I22" i="28"/>
  <c r="J22" i="28"/>
  <c r="K22" i="28"/>
  <c r="L22" i="28"/>
  <c r="M22" i="28"/>
  <c r="N22" i="28"/>
  <c r="O22" i="28"/>
  <c r="P22" i="28"/>
  <c r="F22" i="29"/>
  <c r="G22" i="29"/>
  <c r="H22" i="29"/>
  <c r="I22" i="29"/>
  <c r="J22" i="29"/>
  <c r="K22" i="29"/>
  <c r="L22" i="29"/>
  <c r="M22" i="29"/>
  <c r="N22" i="29"/>
  <c r="O22" i="29"/>
  <c r="P22" i="29"/>
  <c r="F22" i="30"/>
  <c r="G22" i="30"/>
  <c r="H22" i="30"/>
  <c r="I22" i="30"/>
  <c r="J22" i="30"/>
  <c r="K22" i="30"/>
  <c r="L22" i="30"/>
  <c r="M22" i="30"/>
  <c r="N22" i="30"/>
  <c r="O22" i="30"/>
  <c r="P22" i="30"/>
  <c r="F22" i="32"/>
  <c r="G22" i="32"/>
  <c r="H22" i="32"/>
  <c r="I22" i="32"/>
  <c r="J22" i="32"/>
  <c r="K22" i="32"/>
  <c r="L22" i="32"/>
  <c r="M22" i="32"/>
  <c r="N22" i="32"/>
  <c r="O22" i="32"/>
  <c r="P22" i="32"/>
  <c r="E41" i="26"/>
  <c r="E41" i="27"/>
  <c r="E41" i="28"/>
  <c r="E41" i="29"/>
  <c r="E41" i="30"/>
  <c r="E41" i="32"/>
  <c r="E22" i="26"/>
  <c r="E22" i="27"/>
  <c r="E22" i="28"/>
  <c r="E22" i="29"/>
  <c r="E22" i="30"/>
  <c r="E22" i="32"/>
  <c r="M3" i="4" l="1"/>
  <c r="E9" i="11"/>
  <c r="N3" i="4" l="1"/>
  <c r="A214" i="32"/>
  <c r="E8" i="11"/>
  <c r="F24" i="34" s="1"/>
  <c r="F6" i="11"/>
  <c r="F9" i="11" s="1"/>
  <c r="G6" i="11"/>
  <c r="H6" i="11" s="1"/>
  <c r="I6" i="11" s="1"/>
  <c r="J6" i="11" s="1"/>
  <c r="K6" i="11" s="1"/>
  <c r="L6" i="11" s="1"/>
  <c r="M6" i="11" s="1"/>
  <c r="N6" i="11" s="1"/>
  <c r="O6" i="11" s="1"/>
  <c r="P6" i="11" s="1"/>
  <c r="C10" i="21" s="1"/>
  <c r="F26" i="4"/>
  <c r="BH166" i="12"/>
  <c r="H20" i="21" s="1"/>
  <c r="BH164" i="12"/>
  <c r="G33" i="4"/>
  <c r="AS164" i="12" s="1"/>
  <c r="I168" i="15"/>
  <c r="I280" i="15" s="1"/>
  <c r="F33" i="4"/>
  <c r="F34" i="4" s="1"/>
  <c r="E180" i="26"/>
  <c r="E22" i="4"/>
  <c r="E23" i="4" s="1"/>
  <c r="AD165" i="12" s="1"/>
  <c r="A209" i="26"/>
  <c r="A211" i="26"/>
  <c r="A212" i="26"/>
  <c r="AQ164" i="12"/>
  <c r="BD164" i="12"/>
  <c r="BQ164" i="12"/>
  <c r="AQ165" i="12"/>
  <c r="BD165" i="12"/>
  <c r="BQ165" i="12"/>
  <c r="E85" i="32"/>
  <c r="E87" i="32"/>
  <c r="AD68" i="33" s="1"/>
  <c r="E88" i="32"/>
  <c r="AD69" i="33" s="1"/>
  <c r="E89" i="32"/>
  <c r="AD70" i="33" s="1"/>
  <c r="AD71" i="33"/>
  <c r="E91" i="32"/>
  <c r="AD72" i="33" s="1"/>
  <c r="E11" i="32"/>
  <c r="E167" i="32"/>
  <c r="AD147" i="33" s="1"/>
  <c r="E168" i="32"/>
  <c r="AD148" i="33" s="1"/>
  <c r="E169" i="32"/>
  <c r="AD149" i="33" s="1"/>
  <c r="E170" i="32"/>
  <c r="AD150" i="33" s="1"/>
  <c r="E171" i="32"/>
  <c r="AD151" i="33" s="1"/>
  <c r="E172" i="32"/>
  <c r="AD152" i="33" s="1"/>
  <c r="A209" i="32"/>
  <c r="A211" i="32"/>
  <c r="A213" i="32"/>
  <c r="A216" i="32"/>
  <c r="A217" i="32"/>
  <c r="E5" i="32"/>
  <c r="E211" i="32" s="1"/>
  <c r="E199" i="32"/>
  <c r="E200" i="32" s="1"/>
  <c r="E9" i="32"/>
  <c r="E203" i="32"/>
  <c r="E202" i="32"/>
  <c r="AD170" i="33" s="1"/>
  <c r="E93" i="32"/>
  <c r="AD74" i="33" s="1"/>
  <c r="E94" i="32"/>
  <c r="AD75" i="33" s="1"/>
  <c r="E97" i="32"/>
  <c r="E99" i="32"/>
  <c r="E100" i="32"/>
  <c r="E104" i="32"/>
  <c r="AD84" i="33" s="1"/>
  <c r="E105" i="32"/>
  <c r="AD85" i="33" s="1"/>
  <c r="E106" i="32"/>
  <c r="AD86" i="33" s="1"/>
  <c r="E107" i="32"/>
  <c r="AD87" i="33" s="1"/>
  <c r="E116" i="32"/>
  <c r="AD96" i="33" s="1"/>
  <c r="E117" i="32"/>
  <c r="AD97" i="33" s="1"/>
  <c r="BE164" i="12"/>
  <c r="BR164" i="12"/>
  <c r="BE165" i="12"/>
  <c r="BR165" i="12"/>
  <c r="F13" i="32"/>
  <c r="G13" i="32" s="1"/>
  <c r="H13" i="32" s="1"/>
  <c r="I13" i="32" s="1"/>
  <c r="J13" i="32" s="1"/>
  <c r="K13" i="32" s="1"/>
  <c r="L13" i="32" s="1"/>
  <c r="M13" i="32" s="1"/>
  <c r="N13" i="32" s="1"/>
  <c r="O13" i="32" s="1"/>
  <c r="P13" i="32" s="1"/>
  <c r="F199" i="32"/>
  <c r="F200" i="32" s="1"/>
  <c r="F203" i="32"/>
  <c r="F202" i="32"/>
  <c r="AE170" i="33" s="1"/>
  <c r="E38" i="26"/>
  <c r="Q20" i="12" s="1"/>
  <c r="E11" i="26"/>
  <c r="A213" i="26"/>
  <c r="A214" i="26"/>
  <c r="A215" i="26"/>
  <c r="A216" i="26"/>
  <c r="A217" i="26"/>
  <c r="E5" i="26"/>
  <c r="E199" i="26"/>
  <c r="E200" i="26" s="1"/>
  <c r="E9" i="26"/>
  <c r="E203" i="26"/>
  <c r="E197" i="26"/>
  <c r="E202" i="26"/>
  <c r="Q170" i="12" s="1"/>
  <c r="F13" i="26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F38" i="26"/>
  <c r="R20" i="12" s="1"/>
  <c r="F199" i="26"/>
  <c r="F200" i="26" s="1"/>
  <c r="F203" i="26"/>
  <c r="F197" i="26"/>
  <c r="F202" i="26"/>
  <c r="R170" i="12" s="1"/>
  <c r="F13" i="27"/>
  <c r="G13" i="27" s="1"/>
  <c r="H13" i="27" s="1"/>
  <c r="I13" i="27" s="1"/>
  <c r="J13" i="27" s="1"/>
  <c r="K13" i="27" s="1"/>
  <c r="L13" i="27" s="1"/>
  <c r="M13" i="27" s="1"/>
  <c r="N13" i="27" s="1"/>
  <c r="O13" i="27" s="1"/>
  <c r="P13" i="27" s="1"/>
  <c r="F38" i="27"/>
  <c r="AE20" i="12" s="1"/>
  <c r="E11" i="27"/>
  <c r="A209" i="27"/>
  <c r="A211" i="27"/>
  <c r="A212" i="27"/>
  <c r="A213" i="27"/>
  <c r="A214" i="27"/>
  <c r="A215" i="27"/>
  <c r="A216" i="27"/>
  <c r="A217" i="27"/>
  <c r="E5" i="27"/>
  <c r="F199" i="27"/>
  <c r="F200" i="27" s="1"/>
  <c r="E9" i="27"/>
  <c r="F203" i="27"/>
  <c r="F197" i="27"/>
  <c r="F202" i="27"/>
  <c r="AE170" i="12" s="1"/>
  <c r="E38" i="27"/>
  <c r="AD20" i="12" s="1"/>
  <c r="E199" i="27"/>
  <c r="E200" i="27" s="1"/>
  <c r="E203" i="27"/>
  <c r="E197" i="27"/>
  <c r="E202" i="27"/>
  <c r="AD170" i="12" s="1"/>
  <c r="F13" i="28"/>
  <c r="G13" i="28" s="1"/>
  <c r="H13" i="28" s="1"/>
  <c r="I13" i="28" s="1"/>
  <c r="J13" i="28" s="1"/>
  <c r="K13" i="28" s="1"/>
  <c r="L13" i="28" s="1"/>
  <c r="M13" i="28" s="1"/>
  <c r="N13" i="28" s="1"/>
  <c r="O13" i="28" s="1"/>
  <c r="P13" i="28" s="1"/>
  <c r="F38" i="28"/>
  <c r="AR20" i="12" s="1"/>
  <c r="E11" i="28"/>
  <c r="A209" i="28"/>
  <c r="A211" i="28"/>
  <c r="A212" i="28"/>
  <c r="A213" i="28"/>
  <c r="A214" i="28"/>
  <c r="A215" i="28"/>
  <c r="A216" i="28"/>
  <c r="A217" i="28"/>
  <c r="E5" i="28"/>
  <c r="F199" i="28"/>
  <c r="F200" i="28" s="1"/>
  <c r="E9" i="28"/>
  <c r="F203" i="28"/>
  <c r="F197" i="28"/>
  <c r="F202" i="28"/>
  <c r="AR170" i="12" s="1"/>
  <c r="E180" i="28"/>
  <c r="E181" i="28"/>
  <c r="E38" i="28"/>
  <c r="AQ20" i="12" s="1"/>
  <c r="E203" i="28"/>
  <c r="E197" i="28"/>
  <c r="E202" i="28"/>
  <c r="AQ170" i="12" s="1"/>
  <c r="Q160" i="33"/>
  <c r="D160" i="33" s="1"/>
  <c r="AR160" i="12"/>
  <c r="AR161" i="12"/>
  <c r="E161" i="12" s="1"/>
  <c r="R161" i="33" s="1"/>
  <c r="E161" i="33" s="1"/>
  <c r="BF164" i="12"/>
  <c r="BS164" i="12"/>
  <c r="BF165" i="12"/>
  <c r="BS165" i="12"/>
  <c r="G10" i="32"/>
  <c r="H10" i="32" s="1"/>
  <c r="I10" i="32" s="1"/>
  <c r="J10" i="32" s="1"/>
  <c r="K10" i="32" s="1"/>
  <c r="L10" i="32" s="1"/>
  <c r="M10" i="32" s="1"/>
  <c r="G199" i="32"/>
  <c r="G200" i="32" s="1"/>
  <c r="G8" i="32"/>
  <c r="H8" i="32" s="1"/>
  <c r="I8" i="32" s="1"/>
  <c r="J8" i="32" s="1"/>
  <c r="K8" i="32" s="1"/>
  <c r="G203" i="32"/>
  <c r="G202" i="32"/>
  <c r="AF170" i="33" s="1"/>
  <c r="BT164" i="12"/>
  <c r="BT165" i="12"/>
  <c r="H190" i="32"/>
  <c r="I190" i="32" s="1"/>
  <c r="H191" i="32"/>
  <c r="H188" i="32"/>
  <c r="H189" i="32"/>
  <c r="H6" i="32"/>
  <c r="H199" i="32"/>
  <c r="H200" i="32" s="1"/>
  <c r="H202" i="32"/>
  <c r="AG170" i="33" s="1"/>
  <c r="BU164" i="12"/>
  <c r="BU165" i="12"/>
  <c r="F14" i="32"/>
  <c r="G14" i="32" s="1"/>
  <c r="H14" i="32" s="1"/>
  <c r="I14" i="32" s="1"/>
  <c r="J14" i="32" s="1"/>
  <c r="K14" i="32" s="1"/>
  <c r="L14" i="32" s="1"/>
  <c r="M14" i="32" s="1"/>
  <c r="N14" i="32" s="1"/>
  <c r="O14" i="32" s="1"/>
  <c r="P14" i="32" s="1"/>
  <c r="I194" i="32"/>
  <c r="I199" i="32"/>
  <c r="I200" i="32" s="1"/>
  <c r="AH168" i="33" s="1"/>
  <c r="J192" i="32"/>
  <c r="J199" i="32"/>
  <c r="J200" i="32" s="1"/>
  <c r="K199" i="32"/>
  <c r="K200" i="32" s="1"/>
  <c r="L195" i="32"/>
  <c r="L193" i="32"/>
  <c r="L199" i="32"/>
  <c r="L200" i="32" s="1"/>
  <c r="M199" i="32"/>
  <c r="M200" i="32" s="1"/>
  <c r="N199" i="32"/>
  <c r="N200" i="32" s="1"/>
  <c r="O199" i="32"/>
  <c r="O200" i="32" s="1"/>
  <c r="P199" i="32"/>
  <c r="P200" i="32" s="1"/>
  <c r="G38" i="26"/>
  <c r="S20" i="12" s="1"/>
  <c r="G10" i="26"/>
  <c r="G199" i="26"/>
  <c r="G200" i="26" s="1"/>
  <c r="G8" i="26"/>
  <c r="H8" i="26" s="1"/>
  <c r="G203" i="26"/>
  <c r="G197" i="26"/>
  <c r="G202" i="26"/>
  <c r="S170" i="12" s="1"/>
  <c r="H38" i="26"/>
  <c r="T20" i="12" s="1"/>
  <c r="H188" i="26"/>
  <c r="H191" i="26"/>
  <c r="H4" i="26"/>
  <c r="H192" i="26"/>
  <c r="H6" i="26"/>
  <c r="H203" i="26"/>
  <c r="H193" i="26"/>
  <c r="I193" i="26" s="1"/>
  <c r="H194" i="26"/>
  <c r="H195" i="26"/>
  <c r="F14" i="26"/>
  <c r="G14" i="26" s="1"/>
  <c r="H14" i="26" s="1"/>
  <c r="I14" i="26" s="1"/>
  <c r="J14" i="26" s="1"/>
  <c r="K14" i="26" s="1"/>
  <c r="L14" i="26" s="1"/>
  <c r="M14" i="26" s="1"/>
  <c r="N14" i="26" s="1"/>
  <c r="O14" i="26" s="1"/>
  <c r="P14" i="26" s="1"/>
  <c r="I38" i="26"/>
  <c r="U20" i="12" s="1"/>
  <c r="I190" i="26"/>
  <c r="I189" i="26"/>
  <c r="J38" i="26"/>
  <c r="V20" i="12" s="1"/>
  <c r="K38" i="26"/>
  <c r="W20" i="12" s="1"/>
  <c r="L38" i="26"/>
  <c r="X20" i="12" s="1"/>
  <c r="M38" i="26"/>
  <c r="Y20" i="12" s="1"/>
  <c r="N38" i="26"/>
  <c r="Z20" i="12" s="1"/>
  <c r="O38" i="26"/>
  <c r="AA20" i="12" s="1"/>
  <c r="P38" i="26"/>
  <c r="AB20" i="12" s="1"/>
  <c r="P199" i="26"/>
  <c r="P200" i="26" s="1"/>
  <c r="G38" i="27"/>
  <c r="AF20" i="12" s="1"/>
  <c r="G10" i="27"/>
  <c r="H10" i="27" s="1"/>
  <c r="G199" i="27"/>
  <c r="G200" i="27" s="1"/>
  <c r="AF168" i="12" s="1"/>
  <c r="G8" i="27"/>
  <c r="G203" i="27"/>
  <c r="G197" i="27"/>
  <c r="G202" i="27"/>
  <c r="AF170" i="12" s="1"/>
  <c r="H38" i="27"/>
  <c r="AG20" i="12" s="1"/>
  <c r="H188" i="27"/>
  <c r="H28" i="4" s="1"/>
  <c r="H191" i="27"/>
  <c r="H4" i="27"/>
  <c r="H192" i="27"/>
  <c r="H193" i="27"/>
  <c r="H194" i="27"/>
  <c r="H195" i="27"/>
  <c r="H196" i="27"/>
  <c r="H6" i="27"/>
  <c r="I6" i="27" s="1"/>
  <c r="H203" i="27"/>
  <c r="F14" i="27"/>
  <c r="G14" i="27" s="1"/>
  <c r="H14" i="27" s="1"/>
  <c r="I14" i="27" s="1"/>
  <c r="J14" i="27" s="1"/>
  <c r="K14" i="27" s="1"/>
  <c r="L14" i="27" s="1"/>
  <c r="M14" i="27" s="1"/>
  <c r="N14" i="27" s="1"/>
  <c r="O14" i="27" s="1"/>
  <c r="P14" i="27" s="1"/>
  <c r="I38" i="27"/>
  <c r="AH20" i="12" s="1"/>
  <c r="I190" i="27"/>
  <c r="I189" i="27"/>
  <c r="J189" i="27" s="1"/>
  <c r="K189" i="27" s="1"/>
  <c r="I4" i="27"/>
  <c r="J38" i="27"/>
  <c r="AI20" i="12" s="1"/>
  <c r="K38" i="27"/>
  <c r="AJ20" i="12" s="1"/>
  <c r="L38" i="27"/>
  <c r="AK20" i="12" s="1"/>
  <c r="M38" i="27"/>
  <c r="AL20" i="12" s="1"/>
  <c r="N38" i="27"/>
  <c r="AM20" i="12" s="1"/>
  <c r="O38" i="27"/>
  <c r="AN20" i="12" s="1"/>
  <c r="P38" i="27"/>
  <c r="AO20" i="12" s="1"/>
  <c r="P199" i="27"/>
  <c r="P200" i="27" s="1"/>
  <c r="G38" i="28"/>
  <c r="AS20" i="12" s="1"/>
  <c r="G10" i="28"/>
  <c r="G199" i="28"/>
  <c r="G200" i="28" s="1"/>
  <c r="G8" i="28"/>
  <c r="H8" i="28" s="1"/>
  <c r="I8" i="28" s="1"/>
  <c r="G203" i="28"/>
  <c r="G197" i="28"/>
  <c r="G202" i="28"/>
  <c r="AS170" i="12" s="1"/>
  <c r="AS160" i="12"/>
  <c r="F160" i="12" s="1"/>
  <c r="H38" i="28"/>
  <c r="AT20" i="12" s="1"/>
  <c r="H191" i="28"/>
  <c r="H4" i="28"/>
  <c r="I4" i="28" s="1"/>
  <c r="J4" i="28" s="1"/>
  <c r="H192" i="28"/>
  <c r="H193" i="28"/>
  <c r="H194" i="28"/>
  <c r="H196" i="28"/>
  <c r="I196" i="28" s="1"/>
  <c r="H6" i="28"/>
  <c r="I6" i="28" s="1"/>
  <c r="H199" i="28"/>
  <c r="H200" i="28" s="1"/>
  <c r="H203" i="28"/>
  <c r="AT160" i="12"/>
  <c r="G160" i="12" s="1"/>
  <c r="F14" i="28"/>
  <c r="G14" i="28" s="1"/>
  <c r="H14" i="28" s="1"/>
  <c r="I14" i="28" s="1"/>
  <c r="J14" i="28" s="1"/>
  <c r="K14" i="28" s="1"/>
  <c r="L14" i="28" s="1"/>
  <c r="M14" i="28" s="1"/>
  <c r="N14" i="28" s="1"/>
  <c r="O14" i="28" s="1"/>
  <c r="P14" i="28" s="1"/>
  <c r="I38" i="28"/>
  <c r="AU20" i="12" s="1"/>
  <c r="I190" i="28"/>
  <c r="I195" i="28"/>
  <c r="AU160" i="12"/>
  <c r="H160" i="12" s="1"/>
  <c r="J38" i="28"/>
  <c r="AV20" i="12" s="1"/>
  <c r="AV160" i="12"/>
  <c r="I160" i="12" s="1"/>
  <c r="AV161" i="12"/>
  <c r="K38" i="28"/>
  <c r="AW20" i="12" s="1"/>
  <c r="AW160" i="12"/>
  <c r="J160" i="12" s="1"/>
  <c r="AW161" i="12"/>
  <c r="L38" i="28"/>
  <c r="AX20" i="12" s="1"/>
  <c r="AX160" i="12"/>
  <c r="K160" i="12" s="1"/>
  <c r="AX161" i="12"/>
  <c r="K161" i="12" s="1"/>
  <c r="X161" i="33" s="1"/>
  <c r="K161" i="33" s="1"/>
  <c r="M38" i="28"/>
  <c r="AY20" i="12" s="1"/>
  <c r="AY160" i="12"/>
  <c r="L160" i="12" s="1"/>
  <c r="AY161" i="12"/>
  <c r="N38" i="28"/>
  <c r="AZ20" i="12" s="1"/>
  <c r="AZ160" i="12"/>
  <c r="M160" i="12" s="1"/>
  <c r="AZ161" i="12"/>
  <c r="M161" i="12" s="1"/>
  <c r="Z161" i="33" s="1"/>
  <c r="M161" i="33" s="1"/>
  <c r="O38" i="28"/>
  <c r="BA20" i="12" s="1"/>
  <c r="BA160" i="12"/>
  <c r="N160" i="12" s="1"/>
  <c r="BA161" i="12"/>
  <c r="P38" i="28"/>
  <c r="BB20" i="12" s="1"/>
  <c r="P199" i="28"/>
  <c r="P200" i="28" s="1"/>
  <c r="BB160" i="12"/>
  <c r="BB161" i="12"/>
  <c r="O161" i="12" s="1"/>
  <c r="AB161" i="33" s="1"/>
  <c r="O161" i="33" s="1"/>
  <c r="G180" i="29"/>
  <c r="G181" i="29"/>
  <c r="G38" i="29"/>
  <c r="BF20" i="12" s="1"/>
  <c r="G10" i="29"/>
  <c r="H10" i="29" s="1"/>
  <c r="E11" i="29"/>
  <c r="A209" i="29"/>
  <c r="A211" i="29"/>
  <c r="A212" i="29"/>
  <c r="A213" i="29"/>
  <c r="A214" i="29"/>
  <c r="A215" i="29"/>
  <c r="A216" i="29"/>
  <c r="A217" i="29"/>
  <c r="E5" i="29"/>
  <c r="G199" i="29"/>
  <c r="G200" i="29" s="1"/>
  <c r="G8" i="29"/>
  <c r="H8" i="29" s="1"/>
  <c r="E9" i="29"/>
  <c r="G203" i="29"/>
  <c r="G197" i="29"/>
  <c r="G202" i="29"/>
  <c r="BF170" i="12" s="1"/>
  <c r="S161" i="33"/>
  <c r="F161" i="33" s="1"/>
  <c r="H38" i="29"/>
  <c r="BG20" i="12" s="1"/>
  <c r="H4" i="29"/>
  <c r="I4" i="29" s="1"/>
  <c r="J4" i="29" s="1"/>
  <c r="K4" i="29" s="1"/>
  <c r="L4" i="29" s="1"/>
  <c r="M4" i="29" s="1"/>
  <c r="N4" i="29" s="1"/>
  <c r="H6" i="29"/>
  <c r="H199" i="29"/>
  <c r="H200" i="29" s="1"/>
  <c r="H203" i="29"/>
  <c r="H197" i="29"/>
  <c r="H202" i="29"/>
  <c r="BG170" i="12" s="1"/>
  <c r="F14" i="29"/>
  <c r="G14" i="29" s="1"/>
  <c r="H14" i="29" s="1"/>
  <c r="I14" i="29" s="1"/>
  <c r="I38" i="29"/>
  <c r="BH20" i="12" s="1"/>
  <c r="I199" i="29"/>
  <c r="I200" i="29" s="1"/>
  <c r="I203" i="29"/>
  <c r="I197" i="29"/>
  <c r="I202" i="29"/>
  <c r="BH170" i="12" s="1"/>
  <c r="J38" i="29"/>
  <c r="BI20" i="12" s="1"/>
  <c r="J199" i="29"/>
  <c r="J200" i="29" s="1"/>
  <c r="J203" i="29"/>
  <c r="K38" i="29"/>
  <c r="BJ20" i="12" s="1"/>
  <c r="L38" i="29"/>
  <c r="BK20" i="12" s="1"/>
  <c r="M38" i="29"/>
  <c r="BL20" i="12" s="1"/>
  <c r="N38" i="29"/>
  <c r="BM20" i="12" s="1"/>
  <c r="O38" i="29"/>
  <c r="BN20" i="12" s="1"/>
  <c r="P38" i="29"/>
  <c r="BO20" i="12" s="1"/>
  <c r="I180" i="30"/>
  <c r="I181" i="30"/>
  <c r="I13" i="30"/>
  <c r="F14" i="30"/>
  <c r="G14" i="30" s="1"/>
  <c r="H14" i="30" s="1"/>
  <c r="I14" i="30" s="1"/>
  <c r="J14" i="30" s="1"/>
  <c r="K14" i="30" s="1"/>
  <c r="L14" i="30" s="1"/>
  <c r="M14" i="30" s="1"/>
  <c r="N14" i="30" s="1"/>
  <c r="O14" i="30" s="1"/>
  <c r="P14" i="30" s="1"/>
  <c r="I38" i="30"/>
  <c r="BU20" i="12" s="1"/>
  <c r="G10" i="30"/>
  <c r="H10" i="30" s="1"/>
  <c r="I10" i="30" s="1"/>
  <c r="J10" i="30" s="1"/>
  <c r="K10" i="30" s="1"/>
  <c r="E11" i="30"/>
  <c r="A209" i="30"/>
  <c r="A211" i="30"/>
  <c r="A212" i="30"/>
  <c r="A213" i="30"/>
  <c r="A214" i="30"/>
  <c r="A215" i="30"/>
  <c r="A216" i="30"/>
  <c r="A217" i="30"/>
  <c r="H4" i="30"/>
  <c r="I4" i="30" s="1"/>
  <c r="E5" i="30"/>
  <c r="F5" i="30" s="1"/>
  <c r="H6" i="30"/>
  <c r="I6" i="30" s="1"/>
  <c r="I199" i="30"/>
  <c r="I200" i="30" s="1"/>
  <c r="G8" i="30"/>
  <c r="H8" i="30" s="1"/>
  <c r="E9" i="30"/>
  <c r="I203" i="30"/>
  <c r="I197" i="30"/>
  <c r="I202" i="30"/>
  <c r="BU170" i="12" s="1"/>
  <c r="U161" i="33"/>
  <c r="H161" i="33" s="1"/>
  <c r="J38" i="30"/>
  <c r="BV20" i="12" s="1"/>
  <c r="J199" i="30"/>
  <c r="J200" i="30" s="1"/>
  <c r="BV168" i="12" s="1"/>
  <c r="J203" i="30"/>
  <c r="J197" i="30"/>
  <c r="J202" i="30"/>
  <c r="BV170" i="12" s="1"/>
  <c r="K38" i="30"/>
  <c r="BW20" i="12" s="1"/>
  <c r="K199" i="30"/>
  <c r="K200" i="30" s="1"/>
  <c r="K203" i="30"/>
  <c r="K197" i="30"/>
  <c r="K202" i="30"/>
  <c r="BW170" i="12" s="1"/>
  <c r="L38" i="30"/>
  <c r="BX20" i="12" s="1"/>
  <c r="L199" i="30"/>
  <c r="L200" i="30" s="1"/>
  <c r="L203" i="30"/>
  <c r="M38" i="30"/>
  <c r="BY20" i="12" s="1"/>
  <c r="M203" i="30"/>
  <c r="N38" i="30"/>
  <c r="BZ20" i="12" s="1"/>
  <c r="O38" i="30"/>
  <c r="CA20" i="12" s="1"/>
  <c r="P38" i="30"/>
  <c r="CB20" i="12" s="1"/>
  <c r="F180" i="29"/>
  <c r="F181" i="29"/>
  <c r="F38" i="29"/>
  <c r="BE20" i="12" s="1"/>
  <c r="F180" i="30"/>
  <c r="F181" i="30"/>
  <c r="F38" i="30"/>
  <c r="BR20" i="12" s="1"/>
  <c r="G180" i="30"/>
  <c r="G181" i="30"/>
  <c r="G38" i="30"/>
  <c r="BS20" i="12" s="1"/>
  <c r="H180" i="30"/>
  <c r="H181" i="30"/>
  <c r="H38" i="30"/>
  <c r="BT20" i="12" s="1"/>
  <c r="E180" i="29"/>
  <c r="E181" i="29"/>
  <c r="E38" i="29"/>
  <c r="BD20" i="12" s="1"/>
  <c r="E180" i="30"/>
  <c r="E181" i="30"/>
  <c r="E38" i="30"/>
  <c r="BQ20" i="12" s="1"/>
  <c r="AR166" i="12"/>
  <c r="E19" i="21" s="1"/>
  <c r="BE166" i="12"/>
  <c r="E20" i="21" s="1"/>
  <c r="BF166" i="12"/>
  <c r="F20" i="21" s="1"/>
  <c r="BG166" i="12"/>
  <c r="G20" i="21" s="1"/>
  <c r="BR166" i="12"/>
  <c r="E21" i="21" s="1"/>
  <c r="BS166" i="12"/>
  <c r="F21" i="21" s="1"/>
  <c r="BT166" i="12"/>
  <c r="G21" i="21" s="1"/>
  <c r="BU166" i="12"/>
  <c r="H21" i="21" s="1"/>
  <c r="BV166" i="12"/>
  <c r="I21" i="21" s="1"/>
  <c r="AQ166" i="12"/>
  <c r="BQ166" i="12"/>
  <c r="D21" i="21" s="1"/>
  <c r="BD166" i="12"/>
  <c r="D20" i="21" s="1"/>
  <c r="AD166" i="12"/>
  <c r="D18" i="21" s="1"/>
  <c r="Q166" i="12"/>
  <c r="F199" i="29"/>
  <c r="F200" i="29" s="1"/>
  <c r="F203" i="29"/>
  <c r="F197" i="29"/>
  <c r="F202" i="29"/>
  <c r="BE170" i="12" s="1"/>
  <c r="F199" i="30"/>
  <c r="F200" i="30" s="1"/>
  <c r="F203" i="30"/>
  <c r="F197" i="30"/>
  <c r="F202" i="30"/>
  <c r="BR170" i="12" s="1"/>
  <c r="G199" i="30"/>
  <c r="G200" i="30" s="1"/>
  <c r="G203" i="30"/>
  <c r="G197" i="30"/>
  <c r="G202" i="30"/>
  <c r="BS170" i="12" s="1"/>
  <c r="H199" i="30"/>
  <c r="H200" i="30" s="1"/>
  <c r="H203" i="30"/>
  <c r="H197" i="30"/>
  <c r="H202" i="30"/>
  <c r="BT170" i="12" s="1"/>
  <c r="E203" i="29"/>
  <c r="E197" i="29"/>
  <c r="E199" i="29"/>
  <c r="E200" i="29" s="1"/>
  <c r="E202" i="29"/>
  <c r="BD170" i="12" s="1"/>
  <c r="E203" i="30"/>
  <c r="E197" i="30"/>
  <c r="E199" i="30"/>
  <c r="E200" i="30" s="1"/>
  <c r="E202" i="30"/>
  <c r="BQ170" i="12" s="1"/>
  <c r="B217" i="27"/>
  <c r="H196" i="26"/>
  <c r="H196" i="32"/>
  <c r="H197" i="32" s="1"/>
  <c r="B217" i="26"/>
  <c r="B216" i="26"/>
  <c r="B215" i="26"/>
  <c r="B214" i="26"/>
  <c r="B213" i="26"/>
  <c r="B212" i="26"/>
  <c r="B210" i="26"/>
  <c r="B209" i="26"/>
  <c r="B216" i="27"/>
  <c r="B215" i="27"/>
  <c r="B214" i="27"/>
  <c r="B213" i="27"/>
  <c r="B212" i="27"/>
  <c r="B210" i="27"/>
  <c r="B209" i="27"/>
  <c r="B216" i="28"/>
  <c r="B215" i="28"/>
  <c r="B214" i="28"/>
  <c r="B213" i="28"/>
  <c r="B212" i="28"/>
  <c r="B210" i="28"/>
  <c r="B209" i="28"/>
  <c r="B216" i="29"/>
  <c r="B215" i="29"/>
  <c r="B214" i="29"/>
  <c r="B213" i="29"/>
  <c r="B212" i="29"/>
  <c r="B210" i="29"/>
  <c r="B209" i="29"/>
  <c r="B217" i="30"/>
  <c r="B216" i="30"/>
  <c r="B215" i="30"/>
  <c r="B214" i="30"/>
  <c r="B213" i="30"/>
  <c r="B212" i="30"/>
  <c r="B210" i="30"/>
  <c r="B209" i="30"/>
  <c r="B217" i="32"/>
  <c r="B216" i="32"/>
  <c r="B215" i="32"/>
  <c r="B213" i="32"/>
  <c r="B212" i="32"/>
  <c r="B209" i="32"/>
  <c r="H4" i="32"/>
  <c r="E7" i="32"/>
  <c r="F7" i="32" s="1"/>
  <c r="G7" i="32" s="1"/>
  <c r="E7" i="29"/>
  <c r="F7" i="29" s="1"/>
  <c r="G7" i="29" s="1"/>
  <c r="E7" i="26"/>
  <c r="F7" i="26" s="1"/>
  <c r="G7" i="26" s="1"/>
  <c r="E7" i="27"/>
  <c r="F7" i="27" s="1"/>
  <c r="G7" i="27" s="1"/>
  <c r="E7" i="30"/>
  <c r="F7" i="30" s="1"/>
  <c r="G7" i="30" s="1"/>
  <c r="C13" i="21"/>
  <c r="E7" i="28"/>
  <c r="F7" i="28" s="1"/>
  <c r="G7" i="28" s="1"/>
  <c r="F15" i="28"/>
  <c r="G15" i="28" s="1"/>
  <c r="H15" i="28" s="1"/>
  <c r="I15" i="28" s="1"/>
  <c r="J15" i="28" s="1"/>
  <c r="K15" i="28" s="1"/>
  <c r="L15" i="28" s="1"/>
  <c r="M15" i="28" s="1"/>
  <c r="N15" i="28" s="1"/>
  <c r="O15" i="28" s="1"/>
  <c r="P15" i="28" s="1"/>
  <c r="F16" i="28"/>
  <c r="G16" i="28" s="1"/>
  <c r="H16" i="28" s="1"/>
  <c r="I16" i="28" s="1"/>
  <c r="J16" i="28" s="1"/>
  <c r="K16" i="28" s="1"/>
  <c r="L16" i="28" s="1"/>
  <c r="M16" i="28" s="1"/>
  <c r="N16" i="28" s="1"/>
  <c r="O16" i="28" s="1"/>
  <c r="P16" i="28" s="1"/>
  <c r="A2" i="11"/>
  <c r="Q159" i="33"/>
  <c r="D159" i="33" s="1"/>
  <c r="Q161" i="33"/>
  <c r="D161" i="33" s="1"/>
  <c r="K11" i="17"/>
  <c r="K26" i="17" s="1"/>
  <c r="K19" i="17"/>
  <c r="K27" i="17" s="1"/>
  <c r="E11" i="17"/>
  <c r="E26" i="17" s="1"/>
  <c r="F11" i="17"/>
  <c r="F26" i="17" s="1"/>
  <c r="G11" i="17"/>
  <c r="G26" i="17" s="1"/>
  <c r="H11" i="17"/>
  <c r="I11" i="17"/>
  <c r="I26" i="17" s="1"/>
  <c r="J11" i="17"/>
  <c r="J26" i="17" s="1"/>
  <c r="E27" i="17"/>
  <c r="F19" i="17"/>
  <c r="F27" i="17" s="1"/>
  <c r="G19" i="17"/>
  <c r="G27" i="17" s="1"/>
  <c r="L166" i="8" s="1"/>
  <c r="H19" i="17"/>
  <c r="H27" i="17" s="1"/>
  <c r="M166" i="8" s="1"/>
  <c r="I19" i="17"/>
  <c r="I27" i="17" s="1"/>
  <c r="N166" i="8" s="1"/>
  <c r="J19" i="17"/>
  <c r="J27" i="17" s="1"/>
  <c r="L19" i="17"/>
  <c r="M19" i="17"/>
  <c r="N19" i="17"/>
  <c r="O19" i="17"/>
  <c r="P19" i="17"/>
  <c r="T161" i="33"/>
  <c r="G161" i="33" s="1"/>
  <c r="A2" i="33"/>
  <c r="A1" i="33"/>
  <c r="D185" i="32"/>
  <c r="F16" i="32"/>
  <c r="G16" i="32" s="1"/>
  <c r="H16" i="32" s="1"/>
  <c r="I16" i="32" s="1"/>
  <c r="J16" i="32" s="1"/>
  <c r="K16" i="32" s="1"/>
  <c r="L16" i="32" s="1"/>
  <c r="M16" i="32" s="1"/>
  <c r="N16" i="32" s="1"/>
  <c r="O16" i="32" s="1"/>
  <c r="P16" i="32" s="1"/>
  <c r="F15" i="32"/>
  <c r="G15" i="32" s="1"/>
  <c r="H15" i="32" s="1"/>
  <c r="I15" i="32" s="1"/>
  <c r="J15" i="32" s="1"/>
  <c r="K15" i="32" s="1"/>
  <c r="L15" i="32" s="1"/>
  <c r="M15" i="32" s="1"/>
  <c r="N15" i="32" s="1"/>
  <c r="O15" i="32" s="1"/>
  <c r="P15" i="32" s="1"/>
  <c r="A2" i="32"/>
  <c r="A1" i="32"/>
  <c r="D185" i="30"/>
  <c r="F16" i="30"/>
  <c r="G16" i="30" s="1"/>
  <c r="H16" i="30" s="1"/>
  <c r="I16" i="30" s="1"/>
  <c r="J16" i="30" s="1"/>
  <c r="K16" i="30" s="1"/>
  <c r="L16" i="30" s="1"/>
  <c r="F15" i="30"/>
  <c r="G15" i="30" s="1"/>
  <c r="H15" i="30" s="1"/>
  <c r="I15" i="30" s="1"/>
  <c r="J15" i="30" s="1"/>
  <c r="K15" i="30" s="1"/>
  <c r="A2" i="30"/>
  <c r="A1" i="30"/>
  <c r="D185" i="29"/>
  <c r="F16" i="29"/>
  <c r="G16" i="29" s="1"/>
  <c r="H16" i="29" s="1"/>
  <c r="I16" i="29" s="1"/>
  <c r="J16" i="29" s="1"/>
  <c r="K16" i="29" s="1"/>
  <c r="L16" i="29" s="1"/>
  <c r="M16" i="29" s="1"/>
  <c r="N16" i="29" s="1"/>
  <c r="O16" i="29" s="1"/>
  <c r="P16" i="29" s="1"/>
  <c r="F15" i="29"/>
  <c r="G15" i="29" s="1"/>
  <c r="H15" i="29" s="1"/>
  <c r="I15" i="29" s="1"/>
  <c r="J15" i="29" s="1"/>
  <c r="A2" i="29"/>
  <c r="A1" i="29"/>
  <c r="D185" i="28"/>
  <c r="A2" i="28"/>
  <c r="A1" i="28"/>
  <c r="D185" i="27"/>
  <c r="F16" i="27"/>
  <c r="G16" i="27" s="1"/>
  <c r="H16" i="27" s="1"/>
  <c r="I16" i="27" s="1"/>
  <c r="J16" i="27" s="1"/>
  <c r="K16" i="27" s="1"/>
  <c r="L16" i="27" s="1"/>
  <c r="M16" i="27" s="1"/>
  <c r="N16" i="27" s="1"/>
  <c r="O16" i="27" s="1"/>
  <c r="P16" i="27" s="1"/>
  <c r="F15" i="27"/>
  <c r="G15" i="27" s="1"/>
  <c r="H15" i="27" s="1"/>
  <c r="I15" i="27" s="1"/>
  <c r="J15" i="27" s="1"/>
  <c r="K15" i="27" s="1"/>
  <c r="L15" i="27" s="1"/>
  <c r="M15" i="27" s="1"/>
  <c r="N15" i="27" s="1"/>
  <c r="O15" i="27" s="1"/>
  <c r="P15" i="27" s="1"/>
  <c r="A2" i="27"/>
  <c r="A1" i="27"/>
  <c r="F15" i="26"/>
  <c r="G15" i="26" s="1"/>
  <c r="H15" i="26" s="1"/>
  <c r="I15" i="26" s="1"/>
  <c r="J15" i="26" s="1"/>
  <c r="K15" i="26" s="1"/>
  <c r="L15" i="26" s="1"/>
  <c r="M15" i="26" s="1"/>
  <c r="N15" i="26" s="1"/>
  <c r="O15" i="26" s="1"/>
  <c r="P15" i="26" s="1"/>
  <c r="F20" i="1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F19" i="11"/>
  <c r="F18" i="11"/>
  <c r="F17" i="1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F12" i="1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D185" i="26"/>
  <c r="F25" i="11"/>
  <c r="G25" i="11" s="1"/>
  <c r="H25" i="11"/>
  <c r="I25" i="11" s="1"/>
  <c r="J25" i="11" s="1"/>
  <c r="K25" i="11" s="1"/>
  <c r="L25" i="11" s="1"/>
  <c r="M25" i="11" s="1"/>
  <c r="N25" i="11" s="1"/>
  <c r="O25" i="11" s="1"/>
  <c r="P25" i="11" s="1"/>
  <c r="F24" i="1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F23" i="1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F15" i="1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F14" i="1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F13" i="1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F16" i="26"/>
  <c r="G16" i="26" s="1"/>
  <c r="H16" i="26" s="1"/>
  <c r="I16" i="26" s="1"/>
  <c r="J16" i="26" s="1"/>
  <c r="K16" i="26" s="1"/>
  <c r="L16" i="26" s="1"/>
  <c r="M16" i="26" s="1"/>
  <c r="N16" i="26" s="1"/>
  <c r="O16" i="26" s="1"/>
  <c r="P16" i="26" s="1"/>
  <c r="A2" i="26"/>
  <c r="A1" i="26"/>
  <c r="N173" i="8"/>
  <c r="N215" i="8" s="1"/>
  <c r="K174" i="8"/>
  <c r="Q173" i="8"/>
  <c r="Q174" i="8"/>
  <c r="Q175" i="8"/>
  <c r="Q176" i="8"/>
  <c r="Q177" i="8"/>
  <c r="L175" i="8"/>
  <c r="M176" i="8"/>
  <c r="N177" i="8"/>
  <c r="Q196" i="8"/>
  <c r="P196" i="8"/>
  <c r="P173" i="8"/>
  <c r="P174" i="8"/>
  <c r="P175" i="8"/>
  <c r="P176" i="8"/>
  <c r="P177" i="8"/>
  <c r="O196" i="8"/>
  <c r="O173" i="8"/>
  <c r="O174" i="8"/>
  <c r="O175" i="8"/>
  <c r="O176" i="8"/>
  <c r="O177" i="8"/>
  <c r="N196" i="8"/>
  <c r="N174" i="8"/>
  <c r="N175" i="8"/>
  <c r="N176" i="8"/>
  <c r="I173" i="8"/>
  <c r="I186" i="8" s="1"/>
  <c r="M177" i="8"/>
  <c r="M251" i="8" s="1"/>
  <c r="M173" i="8"/>
  <c r="M190" i="8" s="1"/>
  <c r="M174" i="8"/>
  <c r="M175" i="8"/>
  <c r="M196" i="8"/>
  <c r="L176" i="8"/>
  <c r="L173" i="8"/>
  <c r="L187" i="8" s="1"/>
  <c r="L174" i="8"/>
  <c r="L177" i="8"/>
  <c r="L253" i="8" s="1"/>
  <c r="L196" i="8"/>
  <c r="K175" i="8"/>
  <c r="K242" i="8" s="1"/>
  <c r="K173" i="8"/>
  <c r="K190" i="8" s="1"/>
  <c r="K176" i="8"/>
  <c r="K247" i="8" s="1"/>
  <c r="K177" i="8"/>
  <c r="K196" i="8"/>
  <c r="J174" i="8"/>
  <c r="J173" i="8"/>
  <c r="J206" i="8" s="1"/>
  <c r="J175" i="8"/>
  <c r="J242" i="8" s="1"/>
  <c r="J176" i="8"/>
  <c r="J177" i="8"/>
  <c r="J240" i="8"/>
  <c r="J196" i="8"/>
  <c r="I174" i="8"/>
  <c r="I236" i="8" s="1"/>
  <c r="I175" i="8"/>
  <c r="I240" i="8" s="1"/>
  <c r="I176" i="8"/>
  <c r="I177" i="8"/>
  <c r="I196" i="8"/>
  <c r="H173" i="8"/>
  <c r="H174" i="8"/>
  <c r="H175" i="8"/>
  <c r="H176" i="8"/>
  <c r="H177" i="8"/>
  <c r="H196" i="8"/>
  <c r="G173" i="8"/>
  <c r="G190" i="8" s="1"/>
  <c r="G174" i="8"/>
  <c r="G175" i="8"/>
  <c r="G176" i="8"/>
  <c r="G177" i="8"/>
  <c r="G196" i="8"/>
  <c r="F173" i="8"/>
  <c r="F187" i="8" s="1"/>
  <c r="F174" i="8"/>
  <c r="F239" i="8" s="1"/>
  <c r="F175" i="8"/>
  <c r="F176" i="8"/>
  <c r="F245" i="8" s="1"/>
  <c r="F177" i="8"/>
  <c r="F253" i="8" s="1"/>
  <c r="F237" i="8"/>
  <c r="F196" i="8"/>
  <c r="C71" i="8"/>
  <c r="E51" i="8"/>
  <c r="Q161" i="14"/>
  <c r="Q189" i="14" s="1"/>
  <c r="Q162" i="14"/>
  <c r="Q163" i="14"/>
  <c r="Q164" i="14"/>
  <c r="Q169" i="14"/>
  <c r="Q172" i="14" s="1"/>
  <c r="Q108" i="14" s="1"/>
  <c r="Q112" i="14" s="1"/>
  <c r="Q165" i="15"/>
  <c r="Q202" i="15" s="1"/>
  <c r="Q166" i="15"/>
  <c r="Q278" i="15" s="1"/>
  <c r="P161" i="14"/>
  <c r="P189" i="14" s="1"/>
  <c r="P162" i="14"/>
  <c r="P163" i="14"/>
  <c r="P164" i="14"/>
  <c r="P169" i="14"/>
  <c r="P106" i="14" s="1"/>
  <c r="P165" i="15"/>
  <c r="P291" i="15" s="1"/>
  <c r="P166" i="15"/>
  <c r="O161" i="14"/>
  <c r="O162" i="14"/>
  <c r="O163" i="14"/>
  <c r="O164" i="14"/>
  <c r="O165" i="15"/>
  <c r="O166" i="15"/>
  <c r="N161" i="14"/>
  <c r="N169" i="14" s="1"/>
  <c r="N162" i="14"/>
  <c r="N163" i="14"/>
  <c r="N164" i="14"/>
  <c r="N165" i="15"/>
  <c r="N211" i="15" s="1"/>
  <c r="N166" i="15"/>
  <c r="N282" i="15" s="1"/>
  <c r="N169" i="15"/>
  <c r="N97" i="15" s="1"/>
  <c r="M161" i="14"/>
  <c r="M201" i="14" s="1"/>
  <c r="M162" i="14"/>
  <c r="M163" i="14"/>
  <c r="M164" i="14"/>
  <c r="M165" i="15"/>
  <c r="M205" i="15" s="1"/>
  <c r="M166" i="15"/>
  <c r="M282" i="15" s="1"/>
  <c r="M169" i="15"/>
  <c r="M106" i="15" s="1"/>
  <c r="L161" i="14"/>
  <c r="L169" i="14" s="1"/>
  <c r="L162" i="14"/>
  <c r="L163" i="14"/>
  <c r="L164" i="14"/>
  <c r="L165" i="15"/>
  <c r="L289" i="15" s="1"/>
  <c r="L166" i="15"/>
  <c r="L278" i="15" s="1"/>
  <c r="K161" i="14"/>
  <c r="K162" i="14"/>
  <c r="K163" i="14"/>
  <c r="K164" i="14"/>
  <c r="K165" i="15"/>
  <c r="K166" i="15"/>
  <c r="J161" i="14"/>
  <c r="J169" i="14" s="1"/>
  <c r="J102" i="14" s="1"/>
  <c r="J162" i="14"/>
  <c r="J163" i="14"/>
  <c r="J164" i="14"/>
  <c r="J165" i="15"/>
  <c r="J166" i="15"/>
  <c r="I161" i="14"/>
  <c r="I169" i="14" s="1"/>
  <c r="I162" i="14"/>
  <c r="I163" i="14"/>
  <c r="I164" i="14"/>
  <c r="I165" i="15"/>
  <c r="I205" i="15" s="1"/>
  <c r="I166" i="15"/>
  <c r="I278" i="15" s="1"/>
  <c r="H161" i="14"/>
  <c r="H174" i="14" s="1"/>
  <c r="H162" i="14"/>
  <c r="H163" i="14"/>
  <c r="H164" i="14"/>
  <c r="H165" i="15"/>
  <c r="H202" i="15" s="1"/>
  <c r="H166" i="15"/>
  <c r="H167" i="15"/>
  <c r="H283" i="15" s="1"/>
  <c r="H168" i="15"/>
  <c r="H276" i="15" s="1"/>
  <c r="G161" i="14"/>
  <c r="G162" i="14"/>
  <c r="G163" i="14"/>
  <c r="G164" i="14"/>
  <c r="G165" i="15"/>
  <c r="G291" i="15" s="1"/>
  <c r="G166" i="15"/>
  <c r="G167" i="15"/>
  <c r="G290" i="15" s="1"/>
  <c r="G168" i="15"/>
  <c r="G280" i="15" s="1"/>
  <c r="F161" i="14"/>
  <c r="F204" i="14" s="1"/>
  <c r="F162" i="14"/>
  <c r="F163" i="14"/>
  <c r="F164" i="14"/>
  <c r="F165" i="15"/>
  <c r="F211" i="15" s="1"/>
  <c r="F166" i="15"/>
  <c r="F167" i="15"/>
  <c r="F168" i="15"/>
  <c r="F12" i="8"/>
  <c r="F14" i="8"/>
  <c r="F109" i="8"/>
  <c r="A2" i="21"/>
  <c r="F30" i="8"/>
  <c r="D121" i="15"/>
  <c r="D121" i="14"/>
  <c r="D138" i="8"/>
  <c r="D104" i="15"/>
  <c r="D103" i="15"/>
  <c r="D102" i="15"/>
  <c r="D100" i="15"/>
  <c r="D99" i="15"/>
  <c r="D98" i="15"/>
  <c r="D97" i="15"/>
  <c r="D96" i="15"/>
  <c r="D104" i="14"/>
  <c r="D103" i="14"/>
  <c r="D102" i="14"/>
  <c r="D100" i="14"/>
  <c r="D99" i="14"/>
  <c r="D98" i="14"/>
  <c r="D97" i="14"/>
  <c r="D96" i="14"/>
  <c r="D121" i="8"/>
  <c r="D120" i="8"/>
  <c r="D119" i="8"/>
  <c r="D117" i="8"/>
  <c r="D116" i="8"/>
  <c r="D115" i="8"/>
  <c r="D114" i="8"/>
  <c r="D113" i="8"/>
  <c r="D118" i="15"/>
  <c r="D118" i="14"/>
  <c r="D135" i="8"/>
  <c r="A2" i="15"/>
  <c r="A2" i="14"/>
  <c r="A2" i="8"/>
  <c r="A1" i="8"/>
  <c r="O182" i="15"/>
  <c r="N182" i="15"/>
  <c r="M182" i="15"/>
  <c r="L182" i="15"/>
  <c r="K182" i="15"/>
  <c r="J182" i="15"/>
  <c r="I182" i="15"/>
  <c r="H182" i="15"/>
  <c r="G182" i="15"/>
  <c r="F182" i="15"/>
  <c r="M182" i="14"/>
  <c r="L182" i="14"/>
  <c r="K182" i="14"/>
  <c r="Q50" i="8"/>
  <c r="P50" i="8"/>
  <c r="O50" i="8"/>
  <c r="N50" i="8"/>
  <c r="M50" i="8"/>
  <c r="L50" i="8"/>
  <c r="K50" i="8"/>
  <c r="J50" i="8"/>
  <c r="I50" i="8"/>
  <c r="H50" i="8"/>
  <c r="G50" i="8"/>
  <c r="F50" i="8"/>
  <c r="Q50" i="15"/>
  <c r="P50" i="15"/>
  <c r="O50" i="15"/>
  <c r="N50" i="15"/>
  <c r="M50" i="15"/>
  <c r="L50" i="15"/>
  <c r="K50" i="15"/>
  <c r="J50" i="15"/>
  <c r="I50" i="15"/>
  <c r="H50" i="15"/>
  <c r="G50" i="15"/>
  <c r="F50" i="15"/>
  <c r="Q50" i="14"/>
  <c r="P50" i="14"/>
  <c r="O50" i="14"/>
  <c r="N50" i="14"/>
  <c r="M50" i="14"/>
  <c r="L50" i="14"/>
  <c r="K50" i="14"/>
  <c r="J50" i="14"/>
  <c r="I50" i="14"/>
  <c r="H50" i="14"/>
  <c r="G50" i="14"/>
  <c r="F50" i="14"/>
  <c r="E18" i="15"/>
  <c r="E17" i="15"/>
  <c r="E15" i="15"/>
  <c r="E16" i="15"/>
  <c r="E18" i="14"/>
  <c r="E17" i="14"/>
  <c r="E15" i="14"/>
  <c r="E16" i="14"/>
  <c r="F39" i="14" s="1"/>
  <c r="E18" i="8"/>
  <c r="G30" i="8" s="1"/>
  <c r="E17" i="8"/>
  <c r="E15" i="8"/>
  <c r="P263" i="15"/>
  <c r="Q263" i="15"/>
  <c r="P262" i="15"/>
  <c r="Q262" i="15" s="1"/>
  <c r="P261" i="15"/>
  <c r="B440" i="15"/>
  <c r="A440" i="15"/>
  <c r="B439" i="15"/>
  <c r="A439" i="15"/>
  <c r="B438" i="15"/>
  <c r="A438" i="15"/>
  <c r="B437" i="15"/>
  <c r="A437" i="15"/>
  <c r="B436" i="15"/>
  <c r="A436" i="15"/>
  <c r="B435" i="15"/>
  <c r="A435" i="15"/>
  <c r="B434" i="15"/>
  <c r="A434" i="15"/>
  <c r="B433" i="15"/>
  <c r="A433" i="15"/>
  <c r="B432" i="15"/>
  <c r="A432" i="15"/>
  <c r="B431" i="15"/>
  <c r="A431" i="15"/>
  <c r="B430" i="15"/>
  <c r="A430" i="15"/>
  <c r="B429" i="15"/>
  <c r="A429" i="15"/>
  <c r="B428" i="15"/>
  <c r="A428" i="15"/>
  <c r="B427" i="15"/>
  <c r="A427" i="15"/>
  <c r="B426" i="15"/>
  <c r="A426" i="15"/>
  <c r="B425" i="15"/>
  <c r="A425" i="15"/>
  <c r="B424" i="15"/>
  <c r="A424" i="15"/>
  <c r="B423" i="15"/>
  <c r="A423" i="15"/>
  <c r="D422" i="15"/>
  <c r="B422" i="15"/>
  <c r="A422" i="15"/>
  <c r="D421" i="15"/>
  <c r="B421" i="15"/>
  <c r="A421" i="15"/>
  <c r="D420" i="15"/>
  <c r="B420" i="15"/>
  <c r="A420" i="15"/>
  <c r="D419" i="15"/>
  <c r="B419" i="15"/>
  <c r="A419" i="15"/>
  <c r="D418" i="15"/>
  <c r="B418" i="15"/>
  <c r="A418" i="15"/>
  <c r="D417" i="15"/>
  <c r="B417" i="15"/>
  <c r="A417" i="15"/>
  <c r="D416" i="15"/>
  <c r="B416" i="15"/>
  <c r="A416" i="15"/>
  <c r="D415" i="15"/>
  <c r="B415" i="15"/>
  <c r="A415" i="15"/>
  <c r="D414" i="15"/>
  <c r="B414" i="15"/>
  <c r="A414" i="15"/>
  <c r="D413" i="15"/>
  <c r="B413" i="15"/>
  <c r="A413" i="15"/>
  <c r="D412" i="15"/>
  <c r="B412" i="15"/>
  <c r="A412" i="15"/>
  <c r="D411" i="15"/>
  <c r="B411" i="15"/>
  <c r="A411" i="15"/>
  <c r="D410" i="15"/>
  <c r="B410" i="15"/>
  <c r="A410" i="15"/>
  <c r="D409" i="15"/>
  <c r="B409" i="15"/>
  <c r="A409" i="15"/>
  <c r="D408" i="15"/>
  <c r="B408" i="15"/>
  <c r="A408" i="15"/>
  <c r="D407" i="15"/>
  <c r="B407" i="15"/>
  <c r="A407" i="15"/>
  <c r="D406" i="15"/>
  <c r="B406" i="15"/>
  <c r="A406" i="15"/>
  <c r="D405" i="15"/>
  <c r="B405" i="15"/>
  <c r="A405" i="15"/>
  <c r="D404" i="15"/>
  <c r="B404" i="15"/>
  <c r="A404" i="15"/>
  <c r="D403" i="15"/>
  <c r="B403" i="15"/>
  <c r="A403" i="15"/>
  <c r="D402" i="15"/>
  <c r="B402" i="15"/>
  <c r="A402" i="15"/>
  <c r="D401" i="15"/>
  <c r="B401" i="15"/>
  <c r="A401" i="15"/>
  <c r="B400" i="15"/>
  <c r="A400" i="15"/>
  <c r="B399" i="15"/>
  <c r="A399" i="15"/>
  <c r="B398" i="15"/>
  <c r="A398" i="15"/>
  <c r="B397" i="15"/>
  <c r="A397" i="15"/>
  <c r="B396" i="15"/>
  <c r="A396" i="15"/>
  <c r="B395" i="15"/>
  <c r="A395" i="15"/>
  <c r="B394" i="15"/>
  <c r="A394" i="15"/>
  <c r="B393" i="15"/>
  <c r="A393" i="15"/>
  <c r="B392" i="15"/>
  <c r="A392" i="15"/>
  <c r="B391" i="15"/>
  <c r="A391" i="15"/>
  <c r="B390" i="15"/>
  <c r="A390" i="15"/>
  <c r="B389" i="15"/>
  <c r="A389" i="15"/>
  <c r="D388" i="15"/>
  <c r="F388" i="15"/>
  <c r="B388" i="15"/>
  <c r="A388" i="15"/>
  <c r="D387" i="15"/>
  <c r="B387" i="15"/>
  <c r="A387" i="15"/>
  <c r="D386" i="15"/>
  <c r="F386" i="15" s="1"/>
  <c r="B386" i="15"/>
  <c r="A386" i="15"/>
  <c r="D385" i="15"/>
  <c r="B385" i="15"/>
  <c r="A385" i="15"/>
  <c r="D384" i="15"/>
  <c r="F384" i="15" s="1"/>
  <c r="B384" i="15"/>
  <c r="A384" i="15"/>
  <c r="D383" i="15"/>
  <c r="B383" i="15"/>
  <c r="A383" i="15"/>
  <c r="D382" i="15"/>
  <c r="F382" i="15"/>
  <c r="B382" i="15"/>
  <c r="A382" i="15"/>
  <c r="D381" i="15"/>
  <c r="F381" i="15"/>
  <c r="B381" i="15"/>
  <c r="A381" i="15"/>
  <c r="D380" i="15"/>
  <c r="B380" i="15"/>
  <c r="A380" i="15"/>
  <c r="D379" i="15"/>
  <c r="B379" i="15"/>
  <c r="A379" i="15"/>
  <c r="D378" i="15"/>
  <c r="B378" i="15"/>
  <c r="A378" i="15"/>
  <c r="D377" i="15"/>
  <c r="B377" i="15"/>
  <c r="A377" i="15"/>
  <c r="D376" i="15"/>
  <c r="B376" i="15"/>
  <c r="A376" i="15"/>
  <c r="D375" i="15"/>
  <c r="B375" i="15"/>
  <c r="A375" i="15"/>
  <c r="D374" i="15"/>
  <c r="F374" i="15" s="1"/>
  <c r="B374" i="15"/>
  <c r="A374" i="15"/>
  <c r="D373" i="15"/>
  <c r="B373" i="15"/>
  <c r="A373" i="15"/>
  <c r="D372" i="15"/>
  <c r="B372" i="15"/>
  <c r="A372" i="15"/>
  <c r="D371" i="15"/>
  <c r="F371" i="15" s="1"/>
  <c r="B371" i="15"/>
  <c r="A371" i="15"/>
  <c r="D370" i="15"/>
  <c r="F370" i="15"/>
  <c r="B370" i="15"/>
  <c r="A370" i="15"/>
  <c r="D369" i="15"/>
  <c r="B369" i="15"/>
  <c r="A369" i="15"/>
  <c r="D368" i="15"/>
  <c r="B368" i="15"/>
  <c r="A368" i="15"/>
  <c r="D367" i="15"/>
  <c r="B367" i="15"/>
  <c r="A367" i="15"/>
  <c r="D366" i="15"/>
  <c r="F366" i="15"/>
  <c r="B366" i="15"/>
  <c r="A366" i="15"/>
  <c r="D365" i="15"/>
  <c r="B365" i="15"/>
  <c r="A365" i="15"/>
  <c r="D364" i="15"/>
  <c r="B364" i="15"/>
  <c r="A364" i="15"/>
  <c r="D363" i="15"/>
  <c r="B363" i="15"/>
  <c r="A363" i="15"/>
  <c r="D362" i="15"/>
  <c r="B362" i="15"/>
  <c r="A362" i="15"/>
  <c r="D361" i="15"/>
  <c r="B361" i="15"/>
  <c r="A361" i="15"/>
  <c r="D360" i="15"/>
  <c r="B360" i="15"/>
  <c r="A360" i="15"/>
  <c r="D359" i="15"/>
  <c r="B359" i="15"/>
  <c r="A359" i="15"/>
  <c r="D358" i="15"/>
  <c r="B358" i="15"/>
  <c r="A358" i="15"/>
  <c r="D357" i="15"/>
  <c r="B357" i="15"/>
  <c r="A357" i="15"/>
  <c r="D356" i="15"/>
  <c r="B356" i="15"/>
  <c r="A356" i="15"/>
  <c r="D355" i="15"/>
  <c r="B355" i="15"/>
  <c r="A355" i="15"/>
  <c r="D354" i="15"/>
  <c r="B354" i="15"/>
  <c r="A354" i="15"/>
  <c r="D353" i="15"/>
  <c r="B353" i="15"/>
  <c r="A353" i="15"/>
  <c r="D352" i="15"/>
  <c r="B352" i="15"/>
  <c r="A352" i="15"/>
  <c r="D351" i="15"/>
  <c r="B351" i="15"/>
  <c r="A351" i="15"/>
  <c r="D350" i="15"/>
  <c r="B350" i="15"/>
  <c r="A350" i="15"/>
  <c r="D349" i="15"/>
  <c r="B349" i="15"/>
  <c r="A349" i="15"/>
  <c r="D348" i="15"/>
  <c r="B348" i="15"/>
  <c r="A348" i="15"/>
  <c r="D347" i="15"/>
  <c r="B347" i="15"/>
  <c r="A347" i="15"/>
  <c r="D346" i="15"/>
  <c r="B346" i="15"/>
  <c r="A346" i="15"/>
  <c r="D345" i="15"/>
  <c r="B345" i="15"/>
  <c r="A345" i="15"/>
  <c r="D344" i="15"/>
  <c r="B344" i="15"/>
  <c r="A344" i="15"/>
  <c r="D343" i="15"/>
  <c r="B343" i="15"/>
  <c r="A343" i="15"/>
  <c r="D342" i="15"/>
  <c r="B342" i="15"/>
  <c r="A342" i="15"/>
  <c r="D341" i="15"/>
  <c r="B341" i="15"/>
  <c r="A341" i="15"/>
  <c r="D340" i="15"/>
  <c r="B340" i="15"/>
  <c r="A340" i="15"/>
  <c r="D339" i="15"/>
  <c r="B339" i="15"/>
  <c r="A339" i="15"/>
  <c r="D338" i="15"/>
  <c r="B338" i="15"/>
  <c r="A338" i="15"/>
  <c r="D337" i="15"/>
  <c r="B337" i="15"/>
  <c r="A337" i="15"/>
  <c r="D336" i="15"/>
  <c r="B336" i="15"/>
  <c r="A336" i="15"/>
  <c r="D335" i="15"/>
  <c r="F335" i="15" s="1"/>
  <c r="B335" i="15"/>
  <c r="A335" i="15"/>
  <c r="D334" i="15"/>
  <c r="B334" i="15"/>
  <c r="A334" i="15"/>
  <c r="D333" i="15"/>
  <c r="B333" i="15"/>
  <c r="A333" i="15"/>
  <c r="D332" i="15"/>
  <c r="B332" i="15"/>
  <c r="A332" i="15"/>
  <c r="D331" i="15"/>
  <c r="B331" i="15"/>
  <c r="A331" i="15"/>
  <c r="D330" i="15"/>
  <c r="B330" i="15"/>
  <c r="A330" i="15"/>
  <c r="D329" i="15"/>
  <c r="B329" i="15"/>
  <c r="A329" i="15"/>
  <c r="D328" i="15"/>
  <c r="B328" i="15"/>
  <c r="A328" i="15"/>
  <c r="D327" i="15"/>
  <c r="B327" i="15"/>
  <c r="A327" i="15"/>
  <c r="D326" i="15"/>
  <c r="B326" i="15"/>
  <c r="A326" i="15"/>
  <c r="D325" i="15"/>
  <c r="B325" i="15"/>
  <c r="A325" i="15"/>
  <c r="D324" i="15"/>
  <c r="B324" i="15"/>
  <c r="A324" i="15"/>
  <c r="D323" i="15"/>
  <c r="B323" i="15"/>
  <c r="A323" i="15"/>
  <c r="D322" i="15"/>
  <c r="B322" i="15"/>
  <c r="A322" i="15"/>
  <c r="D321" i="15"/>
  <c r="B321" i="15"/>
  <c r="A321" i="15"/>
  <c r="D320" i="15"/>
  <c r="B320" i="15"/>
  <c r="A320" i="15"/>
  <c r="D319" i="15"/>
  <c r="B319" i="15"/>
  <c r="A319" i="15"/>
  <c r="D318" i="15"/>
  <c r="B318" i="15"/>
  <c r="A318" i="15"/>
  <c r="D317" i="15"/>
  <c r="B317" i="15"/>
  <c r="A317" i="15"/>
  <c r="D316" i="15"/>
  <c r="B316" i="15"/>
  <c r="A316" i="15"/>
  <c r="D312" i="15"/>
  <c r="D440" i="15"/>
  <c r="D311" i="15"/>
  <c r="D439" i="15"/>
  <c r="G439" i="15" s="1"/>
  <c r="D310" i="15"/>
  <c r="D438" i="15"/>
  <c r="D309" i="15"/>
  <c r="D437" i="15" s="1"/>
  <c r="F437" i="15" s="1"/>
  <c r="D308" i="15"/>
  <c r="D436" i="15" s="1"/>
  <c r="F436" i="15" s="1"/>
  <c r="D307" i="15"/>
  <c r="D435" i="15"/>
  <c r="D306" i="15"/>
  <c r="D434" i="15"/>
  <c r="D305" i="15"/>
  <c r="D433" i="15" s="1"/>
  <c r="D304" i="15"/>
  <c r="D432" i="15" s="1"/>
  <c r="D303" i="15"/>
  <c r="D431" i="15" s="1"/>
  <c r="G431" i="15" s="1"/>
  <c r="D302" i="15"/>
  <c r="D430" i="15" s="1"/>
  <c r="F430" i="15" s="1"/>
  <c r="D301" i="15"/>
  <c r="D429" i="15"/>
  <c r="D300" i="15"/>
  <c r="D428" i="15"/>
  <c r="D299" i="15"/>
  <c r="D427" i="15"/>
  <c r="D298" i="15"/>
  <c r="D426" i="15"/>
  <c r="D297" i="15"/>
  <c r="D425" i="15" s="1"/>
  <c r="D296" i="15"/>
  <c r="D424" i="15"/>
  <c r="F424" i="15" s="1"/>
  <c r="D295" i="15"/>
  <c r="D423" i="15"/>
  <c r="D272" i="15"/>
  <c r="D400" i="15"/>
  <c r="F400" i="15" s="1"/>
  <c r="D271" i="15"/>
  <c r="D399" i="15" s="1"/>
  <c r="F399" i="15" s="1"/>
  <c r="D270" i="15"/>
  <c r="D398" i="15"/>
  <c r="F398" i="15" s="1"/>
  <c r="D269" i="15"/>
  <c r="D397" i="15"/>
  <c r="F397" i="15" s="1"/>
  <c r="D268" i="15"/>
  <c r="D396" i="15"/>
  <c r="D267" i="15"/>
  <c r="D395" i="15"/>
  <c r="D266" i="15"/>
  <c r="D394" i="15"/>
  <c r="F394" i="15" s="1"/>
  <c r="D265" i="15"/>
  <c r="D393" i="15"/>
  <c r="F393" i="15" s="1"/>
  <c r="D264" i="15"/>
  <c r="D392" i="15" s="1"/>
  <c r="D263" i="15"/>
  <c r="D391" i="15"/>
  <c r="D262" i="15"/>
  <c r="D390" i="15"/>
  <c r="D261" i="15"/>
  <c r="D389" i="15"/>
  <c r="O236" i="15"/>
  <c r="P236" i="15" s="1"/>
  <c r="Q236" i="15" s="1"/>
  <c r="G236" i="15"/>
  <c r="F236" i="15"/>
  <c r="O235" i="15"/>
  <c r="P235" i="15"/>
  <c r="Q235" i="15" s="1"/>
  <c r="H235" i="15"/>
  <c r="F235" i="15"/>
  <c r="F363" i="15" s="1"/>
  <c r="O234" i="15"/>
  <c r="P234" i="15"/>
  <c r="Q234" i="15"/>
  <c r="K233" i="15"/>
  <c r="N231" i="15"/>
  <c r="O231" i="15" s="1"/>
  <c r="P231" i="15" s="1"/>
  <c r="Q231" i="15" s="1"/>
  <c r="K231" i="15"/>
  <c r="G231" i="15"/>
  <c r="N230" i="15"/>
  <c r="O230" i="15" s="1"/>
  <c r="P230" i="15" s="1"/>
  <c r="Q230" i="15" s="1"/>
  <c r="L230" i="15"/>
  <c r="F230" i="15"/>
  <c r="N229" i="15"/>
  <c r="O229" i="15"/>
  <c r="P229" i="15"/>
  <c r="Q229" i="15" s="1"/>
  <c r="G229" i="15"/>
  <c r="K227" i="15"/>
  <c r="M226" i="15"/>
  <c r="N226" i="15"/>
  <c r="O226" i="15" s="1"/>
  <c r="P226" i="15" s="1"/>
  <c r="Q226" i="15" s="1"/>
  <c r="J226" i="15"/>
  <c r="F226" i="15"/>
  <c r="M225" i="15"/>
  <c r="N225" i="15" s="1"/>
  <c r="O225" i="15" s="1"/>
  <c r="P225" i="15" s="1"/>
  <c r="Q225" i="15" s="1"/>
  <c r="M224" i="15"/>
  <c r="N224" i="15" s="1"/>
  <c r="O224" i="15" s="1"/>
  <c r="P224" i="15" s="1"/>
  <c r="Q224" i="15" s="1"/>
  <c r="K224" i="15"/>
  <c r="G224" i="15"/>
  <c r="G223" i="15"/>
  <c r="L221" i="15"/>
  <c r="M221" i="15" s="1"/>
  <c r="N221" i="15" s="1"/>
  <c r="O221" i="15" s="1"/>
  <c r="P221" i="15" s="1"/>
  <c r="Q221" i="15" s="1"/>
  <c r="L220" i="15"/>
  <c r="M220" i="15"/>
  <c r="N220" i="15" s="1"/>
  <c r="O220" i="15" s="1"/>
  <c r="P220" i="15" s="1"/>
  <c r="Q220" i="15" s="1"/>
  <c r="L219" i="15"/>
  <c r="M219" i="15" s="1"/>
  <c r="N219" i="15" s="1"/>
  <c r="O219" i="15" s="1"/>
  <c r="P219" i="15" s="1"/>
  <c r="Q219" i="15" s="1"/>
  <c r="K218" i="15"/>
  <c r="L218" i="15"/>
  <c r="M218" i="15" s="1"/>
  <c r="N218" i="15" s="1"/>
  <c r="O218" i="15" s="1"/>
  <c r="P218" i="15" s="1"/>
  <c r="Q218" i="15" s="1"/>
  <c r="K217" i="15"/>
  <c r="L217" i="15" s="1"/>
  <c r="M217" i="15" s="1"/>
  <c r="N217" i="15" s="1"/>
  <c r="O217" i="15" s="1"/>
  <c r="P217" i="15" s="1"/>
  <c r="Q217" i="15" s="1"/>
  <c r="K216" i="15"/>
  <c r="L216" i="15"/>
  <c r="M216" i="15"/>
  <c r="N216" i="15" s="1"/>
  <c r="O216" i="15" s="1"/>
  <c r="P216" i="15" s="1"/>
  <c r="Q216" i="15" s="1"/>
  <c r="F216" i="15"/>
  <c r="K215" i="15"/>
  <c r="L215" i="15" s="1"/>
  <c r="M215" i="15" s="1"/>
  <c r="N215" i="15"/>
  <c r="O215" i="15" s="1"/>
  <c r="P215" i="15" s="1"/>
  <c r="Q215" i="15" s="1"/>
  <c r="H215" i="15"/>
  <c r="K214" i="15"/>
  <c r="L214" i="15"/>
  <c r="M214" i="15" s="1"/>
  <c r="N214" i="15" s="1"/>
  <c r="O214" i="15" s="1"/>
  <c r="P214" i="15" s="1"/>
  <c r="H209" i="15"/>
  <c r="G209" i="15"/>
  <c r="K207" i="15"/>
  <c r="L207" i="15"/>
  <c r="M207" i="15" s="1"/>
  <c r="N207" i="15" s="1"/>
  <c r="O207" i="15" s="1"/>
  <c r="P207" i="15" s="1"/>
  <c r="Q207" i="15"/>
  <c r="I207" i="15"/>
  <c r="I206" i="15"/>
  <c r="J206" i="15"/>
  <c r="K206" i="15" s="1"/>
  <c r="L206" i="15" s="1"/>
  <c r="M206" i="15" s="1"/>
  <c r="N206" i="15" s="1"/>
  <c r="O206" i="15"/>
  <c r="P206" i="15" s="1"/>
  <c r="Q206" i="15" s="1"/>
  <c r="Q179" i="15"/>
  <c r="P179" i="15"/>
  <c r="O179" i="15"/>
  <c r="N179" i="15"/>
  <c r="M179" i="15"/>
  <c r="L179" i="15"/>
  <c r="K179" i="15"/>
  <c r="J179" i="15"/>
  <c r="I179" i="15"/>
  <c r="H179" i="15"/>
  <c r="G179" i="15"/>
  <c r="F179" i="15"/>
  <c r="H173" i="15"/>
  <c r="L170" i="15"/>
  <c r="Q174" i="15"/>
  <c r="N209" i="15"/>
  <c r="F209" i="15"/>
  <c r="M236" i="15"/>
  <c r="L235" i="15"/>
  <c r="K235" i="15"/>
  <c r="H234" i="15"/>
  <c r="G235" i="15"/>
  <c r="L228" i="15"/>
  <c r="K230" i="15"/>
  <c r="H231" i="15"/>
  <c r="G230" i="15"/>
  <c r="F231" i="15"/>
  <c r="L223" i="15"/>
  <c r="M223" i="15" s="1"/>
  <c r="N223" i="15" s="1"/>
  <c r="O223" i="15" s="1"/>
  <c r="P223" i="15" s="1"/>
  <c r="Q223" i="15" s="1"/>
  <c r="K225" i="15"/>
  <c r="J224" i="15"/>
  <c r="I225" i="15"/>
  <c r="H226" i="15"/>
  <c r="G225" i="15"/>
  <c r="F224" i="15"/>
  <c r="J219" i="15"/>
  <c r="H221" i="15"/>
  <c r="G220" i="15"/>
  <c r="F219" i="15"/>
  <c r="F347" i="15" s="1"/>
  <c r="Q170" i="15"/>
  <c r="N213" i="15"/>
  <c r="O213" i="15" s="1"/>
  <c r="P213" i="15" s="1"/>
  <c r="Q213" i="15" s="1"/>
  <c r="G215" i="15"/>
  <c r="G343" i="15" s="1"/>
  <c r="D132" i="15"/>
  <c r="D124" i="15"/>
  <c r="D119" i="15"/>
  <c r="D79" i="15"/>
  <c r="C71" i="15"/>
  <c r="G14" i="15"/>
  <c r="H14" i="15" s="1"/>
  <c r="I14" i="15"/>
  <c r="J14" i="15"/>
  <c r="K14" i="15" s="1"/>
  <c r="G13" i="15"/>
  <c r="H13" i="15" s="1"/>
  <c r="I13" i="15" s="1"/>
  <c r="G12" i="15"/>
  <c r="H12" i="15"/>
  <c r="I12" i="15" s="1"/>
  <c r="J12" i="15" s="1"/>
  <c r="K12" i="15" s="1"/>
  <c r="L12" i="15" s="1"/>
  <c r="M12" i="15" s="1"/>
  <c r="N12" i="15" s="1"/>
  <c r="O12" i="15" s="1"/>
  <c r="P12" i="15" s="1"/>
  <c r="Q12" i="15" s="1"/>
  <c r="G11" i="15"/>
  <c r="F9" i="15"/>
  <c r="H8" i="15"/>
  <c r="I8" i="15"/>
  <c r="F7" i="15"/>
  <c r="G7" i="15" s="1"/>
  <c r="H6" i="15"/>
  <c r="I6" i="15" s="1"/>
  <c r="F5" i="15"/>
  <c r="H4" i="15"/>
  <c r="I4" i="15" s="1"/>
  <c r="J4" i="15" s="1"/>
  <c r="B440" i="14"/>
  <c r="A440" i="14"/>
  <c r="B439" i="14"/>
  <c r="A439" i="14"/>
  <c r="B438" i="14"/>
  <c r="A438" i="14"/>
  <c r="B437" i="14"/>
  <c r="A437" i="14"/>
  <c r="B436" i="14"/>
  <c r="A436" i="14"/>
  <c r="B435" i="14"/>
  <c r="A435" i="14"/>
  <c r="B434" i="14"/>
  <c r="A434" i="14"/>
  <c r="B433" i="14"/>
  <c r="A433" i="14"/>
  <c r="B432" i="14"/>
  <c r="A432" i="14"/>
  <c r="B431" i="14"/>
  <c r="A431" i="14"/>
  <c r="B430" i="14"/>
  <c r="A430" i="14"/>
  <c r="B429" i="14"/>
  <c r="A429" i="14"/>
  <c r="B428" i="14"/>
  <c r="A428" i="14"/>
  <c r="B427" i="14"/>
  <c r="A427" i="14"/>
  <c r="B426" i="14"/>
  <c r="A426" i="14"/>
  <c r="B425" i="14"/>
  <c r="A425" i="14"/>
  <c r="B424" i="14"/>
  <c r="A424" i="14"/>
  <c r="B423" i="14"/>
  <c r="A423" i="14"/>
  <c r="D422" i="14"/>
  <c r="B422" i="14"/>
  <c r="A422" i="14"/>
  <c r="D421" i="14"/>
  <c r="B421" i="14"/>
  <c r="A421" i="14"/>
  <c r="D420" i="14"/>
  <c r="B420" i="14"/>
  <c r="A420" i="14"/>
  <c r="D419" i="14"/>
  <c r="B419" i="14"/>
  <c r="A419" i="14"/>
  <c r="D418" i="14"/>
  <c r="B418" i="14"/>
  <c r="A418" i="14"/>
  <c r="D417" i="14"/>
  <c r="B417" i="14"/>
  <c r="A417" i="14"/>
  <c r="D416" i="14"/>
  <c r="B416" i="14"/>
  <c r="A416" i="14"/>
  <c r="D415" i="14"/>
  <c r="B415" i="14"/>
  <c r="A415" i="14"/>
  <c r="D414" i="14"/>
  <c r="B414" i="14"/>
  <c r="A414" i="14"/>
  <c r="D413" i="14"/>
  <c r="B413" i="14"/>
  <c r="A413" i="14"/>
  <c r="D412" i="14"/>
  <c r="B412" i="14"/>
  <c r="A412" i="14"/>
  <c r="D411" i="14"/>
  <c r="B411" i="14"/>
  <c r="A411" i="14"/>
  <c r="D410" i="14"/>
  <c r="B410" i="14"/>
  <c r="A410" i="14"/>
  <c r="D409" i="14"/>
  <c r="B409" i="14"/>
  <c r="A409" i="14"/>
  <c r="D408" i="14"/>
  <c r="B408" i="14"/>
  <c r="A408" i="14"/>
  <c r="D407" i="14"/>
  <c r="B407" i="14"/>
  <c r="A407" i="14"/>
  <c r="D406" i="14"/>
  <c r="B406" i="14"/>
  <c r="A406" i="14"/>
  <c r="D405" i="14"/>
  <c r="B405" i="14"/>
  <c r="A405" i="14"/>
  <c r="D404" i="14"/>
  <c r="B404" i="14"/>
  <c r="A404" i="14"/>
  <c r="D403" i="14"/>
  <c r="B403" i="14"/>
  <c r="A403" i="14"/>
  <c r="D402" i="14"/>
  <c r="B402" i="14"/>
  <c r="A402" i="14"/>
  <c r="D401" i="14"/>
  <c r="B401" i="14"/>
  <c r="A401" i="14"/>
  <c r="B400" i="14"/>
  <c r="A400" i="14"/>
  <c r="B399" i="14"/>
  <c r="A399" i="14"/>
  <c r="B398" i="14"/>
  <c r="A398" i="14"/>
  <c r="B397" i="14"/>
  <c r="A397" i="14"/>
  <c r="B396" i="14"/>
  <c r="A396" i="14"/>
  <c r="B395" i="14"/>
  <c r="A395" i="14"/>
  <c r="B394" i="14"/>
  <c r="A394" i="14"/>
  <c r="B393" i="14"/>
  <c r="A393" i="14"/>
  <c r="B392" i="14"/>
  <c r="A392" i="14"/>
  <c r="B391" i="14"/>
  <c r="A391" i="14"/>
  <c r="B390" i="14"/>
  <c r="A390" i="14"/>
  <c r="B389" i="14"/>
  <c r="A389" i="14"/>
  <c r="D388" i="14"/>
  <c r="F388" i="14" s="1"/>
  <c r="B388" i="14"/>
  <c r="A388" i="14"/>
  <c r="D387" i="14"/>
  <c r="B387" i="14"/>
  <c r="A387" i="14"/>
  <c r="D386" i="14"/>
  <c r="F386" i="14"/>
  <c r="B386" i="14"/>
  <c r="A386" i="14"/>
  <c r="D385" i="14"/>
  <c r="F385" i="14" s="1"/>
  <c r="B385" i="14"/>
  <c r="A385" i="14"/>
  <c r="D384" i="14"/>
  <c r="F384" i="14"/>
  <c r="B384" i="14"/>
  <c r="A384" i="14"/>
  <c r="D383" i="14"/>
  <c r="B383" i="14"/>
  <c r="A383" i="14"/>
  <c r="D382" i="14"/>
  <c r="F382" i="14"/>
  <c r="B382" i="14"/>
  <c r="A382" i="14"/>
  <c r="D381" i="14"/>
  <c r="F381" i="14"/>
  <c r="B381" i="14"/>
  <c r="A381" i="14"/>
  <c r="D380" i="14"/>
  <c r="B380" i="14"/>
  <c r="A380" i="14"/>
  <c r="D379" i="14"/>
  <c r="B379" i="14"/>
  <c r="A379" i="14"/>
  <c r="D378" i="14"/>
  <c r="F378" i="14" s="1"/>
  <c r="B378" i="14"/>
  <c r="A378" i="14"/>
  <c r="D377" i="14"/>
  <c r="F377" i="14" s="1"/>
  <c r="B377" i="14"/>
  <c r="A377" i="14"/>
  <c r="D376" i="14"/>
  <c r="B376" i="14"/>
  <c r="A376" i="14"/>
  <c r="D375" i="14"/>
  <c r="B375" i="14"/>
  <c r="A375" i="14"/>
  <c r="D374" i="14"/>
  <c r="F374" i="14"/>
  <c r="B374" i="14"/>
  <c r="A374" i="14"/>
  <c r="D373" i="14"/>
  <c r="F373" i="14"/>
  <c r="B373" i="14"/>
  <c r="A373" i="14"/>
  <c r="D372" i="14"/>
  <c r="F372" i="14"/>
  <c r="B372" i="14"/>
  <c r="A372" i="14"/>
  <c r="D371" i="14"/>
  <c r="B371" i="14"/>
  <c r="A371" i="14"/>
  <c r="D370" i="14"/>
  <c r="B370" i="14"/>
  <c r="A370" i="14"/>
  <c r="D369" i="14"/>
  <c r="F369" i="14" s="1"/>
  <c r="B369" i="14"/>
  <c r="A369" i="14"/>
  <c r="D368" i="14"/>
  <c r="B368" i="14"/>
  <c r="A368" i="14"/>
  <c r="D367" i="14"/>
  <c r="B367" i="14"/>
  <c r="A367" i="14"/>
  <c r="D366" i="14"/>
  <c r="F366" i="14"/>
  <c r="B366" i="14"/>
  <c r="A366" i="14"/>
  <c r="D365" i="14"/>
  <c r="F365" i="14"/>
  <c r="B365" i="14"/>
  <c r="A365" i="14"/>
  <c r="D364" i="14"/>
  <c r="B364" i="14"/>
  <c r="A364" i="14"/>
  <c r="D363" i="14"/>
  <c r="B363" i="14"/>
  <c r="A363" i="14"/>
  <c r="D362" i="14"/>
  <c r="B362" i="14"/>
  <c r="A362" i="14"/>
  <c r="D361" i="14"/>
  <c r="B361" i="14"/>
  <c r="A361" i="14"/>
  <c r="D360" i="14"/>
  <c r="B360" i="14"/>
  <c r="A360" i="14"/>
  <c r="D359" i="14"/>
  <c r="B359" i="14"/>
  <c r="A359" i="14"/>
  <c r="D358" i="14"/>
  <c r="B358" i="14"/>
  <c r="A358" i="14"/>
  <c r="D357" i="14"/>
  <c r="F357" i="14" s="1"/>
  <c r="B357" i="14"/>
  <c r="A357" i="14"/>
  <c r="D356" i="14"/>
  <c r="B356" i="14"/>
  <c r="A356" i="14"/>
  <c r="D355" i="14"/>
  <c r="B355" i="14"/>
  <c r="A355" i="14"/>
  <c r="D354" i="14"/>
  <c r="B354" i="14"/>
  <c r="A354" i="14"/>
  <c r="D353" i="14"/>
  <c r="B353" i="14"/>
  <c r="A353" i="14"/>
  <c r="D352" i="14"/>
  <c r="B352" i="14"/>
  <c r="A352" i="14"/>
  <c r="D351" i="14"/>
  <c r="B351" i="14"/>
  <c r="A351" i="14"/>
  <c r="D350" i="14"/>
  <c r="B350" i="14"/>
  <c r="A350" i="14"/>
  <c r="D349" i="14"/>
  <c r="B349" i="14"/>
  <c r="A349" i="14"/>
  <c r="D348" i="14"/>
  <c r="B348" i="14"/>
  <c r="A348" i="14"/>
  <c r="D347" i="14"/>
  <c r="B347" i="14"/>
  <c r="A347" i="14"/>
  <c r="D346" i="14"/>
  <c r="B346" i="14"/>
  <c r="A346" i="14"/>
  <c r="D345" i="14"/>
  <c r="B345" i="14"/>
  <c r="A345" i="14"/>
  <c r="D344" i="14"/>
  <c r="B344" i="14"/>
  <c r="A344" i="14"/>
  <c r="D343" i="14"/>
  <c r="B343" i="14"/>
  <c r="A343" i="14"/>
  <c r="D342" i="14"/>
  <c r="B342" i="14"/>
  <c r="A342" i="14"/>
  <c r="D341" i="14"/>
  <c r="B341" i="14"/>
  <c r="A341" i="14"/>
  <c r="D340" i="14"/>
  <c r="B340" i="14"/>
  <c r="A340" i="14"/>
  <c r="D339" i="14"/>
  <c r="B339" i="14"/>
  <c r="A339" i="14"/>
  <c r="D338" i="14"/>
  <c r="B338" i="14"/>
  <c r="A338" i="14"/>
  <c r="D337" i="14"/>
  <c r="B337" i="14"/>
  <c r="A337" i="14"/>
  <c r="D336" i="14"/>
  <c r="B336" i="14"/>
  <c r="A336" i="14"/>
  <c r="D335" i="14"/>
  <c r="B335" i="14"/>
  <c r="A335" i="14"/>
  <c r="D334" i="14"/>
  <c r="F334" i="14" s="1"/>
  <c r="B334" i="14"/>
  <c r="A334" i="14"/>
  <c r="D333" i="14"/>
  <c r="B333" i="14"/>
  <c r="A333" i="14"/>
  <c r="D332" i="14"/>
  <c r="B332" i="14"/>
  <c r="A332" i="14"/>
  <c r="D331" i="14"/>
  <c r="B331" i="14"/>
  <c r="A331" i="14"/>
  <c r="D330" i="14"/>
  <c r="B330" i="14"/>
  <c r="A330" i="14"/>
  <c r="D329" i="14"/>
  <c r="B329" i="14"/>
  <c r="A329" i="14"/>
  <c r="D328" i="14"/>
  <c r="B328" i="14"/>
  <c r="A328" i="14"/>
  <c r="D327" i="14"/>
  <c r="B327" i="14"/>
  <c r="A327" i="14"/>
  <c r="D326" i="14"/>
  <c r="B326" i="14"/>
  <c r="A326" i="14"/>
  <c r="D325" i="14"/>
  <c r="B325" i="14"/>
  <c r="A325" i="14"/>
  <c r="D324" i="14"/>
  <c r="B324" i="14"/>
  <c r="A324" i="14"/>
  <c r="D323" i="14"/>
  <c r="B323" i="14"/>
  <c r="A323" i="14"/>
  <c r="D322" i="14"/>
  <c r="B322" i="14"/>
  <c r="A322" i="14"/>
  <c r="D321" i="14"/>
  <c r="B321" i="14"/>
  <c r="A321" i="14"/>
  <c r="D320" i="14"/>
  <c r="B320" i="14"/>
  <c r="A320" i="14"/>
  <c r="D319" i="14"/>
  <c r="B319" i="14"/>
  <c r="A319" i="14"/>
  <c r="D318" i="14"/>
  <c r="B318" i="14"/>
  <c r="A318" i="14"/>
  <c r="D317" i="14"/>
  <c r="B317" i="14"/>
  <c r="A317" i="14"/>
  <c r="D316" i="14"/>
  <c r="B316" i="14"/>
  <c r="A316" i="14"/>
  <c r="D312" i="14"/>
  <c r="D440" i="14"/>
  <c r="D311" i="14"/>
  <c r="D439" i="14" s="1"/>
  <c r="D310" i="14"/>
  <c r="D438" i="14"/>
  <c r="D309" i="14"/>
  <c r="D437" i="14" s="1"/>
  <c r="F437" i="14" s="1"/>
  <c r="D308" i="14"/>
  <c r="D436" i="14" s="1"/>
  <c r="D307" i="14"/>
  <c r="D435" i="14" s="1"/>
  <c r="D306" i="14"/>
  <c r="D434" i="14" s="1"/>
  <c r="F434" i="14" s="1"/>
  <c r="D305" i="14"/>
  <c r="D433" i="14" s="1"/>
  <c r="D304" i="14"/>
  <c r="D432" i="14"/>
  <c r="D303" i="14"/>
  <c r="D431" i="14" s="1"/>
  <c r="D302" i="14"/>
  <c r="D430" i="14"/>
  <c r="N301" i="14"/>
  <c r="O301" i="14"/>
  <c r="Q301" i="14"/>
  <c r="D301" i="14"/>
  <c r="D429" i="14"/>
  <c r="N300" i="14"/>
  <c r="O300" i="14" s="1"/>
  <c r="Q300" i="14"/>
  <c r="D300" i="14"/>
  <c r="D428" i="14"/>
  <c r="N299" i="14"/>
  <c r="P299" i="14"/>
  <c r="Q299" i="14" s="1"/>
  <c r="D299" i="14"/>
  <c r="D427" i="14" s="1"/>
  <c r="N298" i="14"/>
  <c r="P298" i="14"/>
  <c r="Q298" i="14" s="1"/>
  <c r="D298" i="14"/>
  <c r="D426" i="14" s="1"/>
  <c r="O297" i="14"/>
  <c r="P297" i="14"/>
  <c r="Q297" i="14" s="1"/>
  <c r="D297" i="14"/>
  <c r="D425" i="14"/>
  <c r="O296" i="14"/>
  <c r="P296" i="14"/>
  <c r="Q296" i="14" s="1"/>
  <c r="D296" i="14"/>
  <c r="D424" i="14"/>
  <c r="O295" i="14"/>
  <c r="P295" i="14" s="1"/>
  <c r="Q295" i="14" s="1"/>
  <c r="D295" i="14"/>
  <c r="D423" i="14"/>
  <c r="N279" i="14"/>
  <c r="H277" i="14"/>
  <c r="P275" i="14"/>
  <c r="H273" i="14"/>
  <c r="D272" i="14"/>
  <c r="D400" i="14"/>
  <c r="D271" i="14"/>
  <c r="D399" i="14"/>
  <c r="D270" i="14"/>
  <c r="D398" i="14" s="1"/>
  <c r="D269" i="14"/>
  <c r="D397" i="14"/>
  <c r="D268" i="14"/>
  <c r="D396" i="14" s="1"/>
  <c r="F396" i="14" s="1"/>
  <c r="O267" i="14"/>
  <c r="P267" i="14"/>
  <c r="Q267" i="14" s="1"/>
  <c r="D267" i="14"/>
  <c r="D395" i="14"/>
  <c r="P266" i="14"/>
  <c r="Q266" i="14" s="1"/>
  <c r="D266" i="14"/>
  <c r="D394" i="14"/>
  <c r="P265" i="14"/>
  <c r="Q265" i="14" s="1"/>
  <c r="D265" i="14"/>
  <c r="D393" i="14" s="1"/>
  <c r="P264" i="14"/>
  <c r="Q264" i="14"/>
  <c r="I264" i="14"/>
  <c r="J264" i="14" s="1"/>
  <c r="D264" i="14"/>
  <c r="D392" i="14" s="1"/>
  <c r="P263" i="14"/>
  <c r="Q263" i="14"/>
  <c r="I263" i="14"/>
  <c r="D263" i="14"/>
  <c r="D391" i="14"/>
  <c r="N262" i="14"/>
  <c r="I262" i="14"/>
  <c r="D262" i="14"/>
  <c r="D390" i="14"/>
  <c r="J261" i="14"/>
  <c r="J182" i="14" s="1"/>
  <c r="D261" i="14"/>
  <c r="D389" i="14"/>
  <c r="Q259" i="14"/>
  <c r="I253" i="14"/>
  <c r="J253" i="14" s="1"/>
  <c r="K253" i="14" s="1"/>
  <c r="L253" i="14" s="1"/>
  <c r="M253" i="14" s="1"/>
  <c r="N253" i="14"/>
  <c r="O253" i="14" s="1"/>
  <c r="P253" i="14" s="1"/>
  <c r="Q253" i="14" s="1"/>
  <c r="I252" i="14"/>
  <c r="J252" i="14" s="1"/>
  <c r="K252" i="14" s="1"/>
  <c r="L252" i="14" s="1"/>
  <c r="M252" i="14" s="1"/>
  <c r="N252" i="14"/>
  <c r="O252" i="14" s="1"/>
  <c r="I251" i="14"/>
  <c r="J251" i="14"/>
  <c r="K251" i="14" s="1"/>
  <c r="L251" i="14" s="1"/>
  <c r="M251" i="14" s="1"/>
  <c r="N251" i="14" s="1"/>
  <c r="O251" i="14" s="1"/>
  <c r="Q250" i="14"/>
  <c r="I250" i="14"/>
  <c r="J250" i="14"/>
  <c r="K250" i="14" s="1"/>
  <c r="L250" i="14"/>
  <c r="M250" i="14" s="1"/>
  <c r="N250" i="14" s="1"/>
  <c r="O250" i="14" s="1"/>
  <c r="Q249" i="14"/>
  <c r="I249" i="14"/>
  <c r="J249" i="14" s="1"/>
  <c r="K249" i="14" s="1"/>
  <c r="L249" i="14" s="1"/>
  <c r="M249" i="14" s="1"/>
  <c r="N249" i="14" s="1"/>
  <c r="O249" i="14" s="1"/>
  <c r="Q248" i="14"/>
  <c r="I248" i="14"/>
  <c r="J248" i="14"/>
  <c r="K248" i="14" s="1"/>
  <c r="L248" i="14" s="1"/>
  <c r="M248" i="14" s="1"/>
  <c r="N248" i="14"/>
  <c r="Q247" i="14"/>
  <c r="I247" i="14"/>
  <c r="J247" i="14"/>
  <c r="K247" i="14" s="1"/>
  <c r="L247" i="14" s="1"/>
  <c r="M247" i="14" s="1"/>
  <c r="N247" i="14" s="1"/>
  <c r="P246" i="14"/>
  <c r="Q246" i="14"/>
  <c r="I246" i="14"/>
  <c r="J246" i="14" s="1"/>
  <c r="K246" i="14" s="1"/>
  <c r="L246" i="14" s="1"/>
  <c r="M246" i="14" s="1"/>
  <c r="N246" i="14"/>
  <c r="P245" i="14"/>
  <c r="Q245" i="14"/>
  <c r="I245" i="14"/>
  <c r="I244" i="14"/>
  <c r="J244" i="14" s="1"/>
  <c r="K244" i="14" s="1"/>
  <c r="L244" i="14" s="1"/>
  <c r="M244" i="14" s="1"/>
  <c r="N244" i="14" s="1"/>
  <c r="P243" i="14"/>
  <c r="Q243" i="14"/>
  <c r="I243" i="14"/>
  <c r="J243" i="14"/>
  <c r="K243" i="14" s="1"/>
  <c r="L243" i="14" s="1"/>
  <c r="M243" i="14" s="1"/>
  <c r="P242" i="14"/>
  <c r="Q242" i="14"/>
  <c r="I242" i="14"/>
  <c r="J242" i="14" s="1"/>
  <c r="K242" i="14" s="1"/>
  <c r="L242" i="14" s="1"/>
  <c r="M242" i="14" s="1"/>
  <c r="O241" i="14"/>
  <c r="P241" i="14" s="1"/>
  <c r="Q241" i="14" s="1"/>
  <c r="I241" i="14"/>
  <c r="J241" i="14"/>
  <c r="K241" i="14" s="1"/>
  <c r="L241" i="14" s="1"/>
  <c r="M241" i="14" s="1"/>
  <c r="O240" i="14"/>
  <c r="I240" i="14"/>
  <c r="N207" i="14"/>
  <c r="O207" i="14" s="1"/>
  <c r="P207" i="14" s="1"/>
  <c r="Q207" i="14" s="1"/>
  <c r="I207" i="14"/>
  <c r="I206" i="14"/>
  <c r="J206" i="14"/>
  <c r="K206" i="14" s="1"/>
  <c r="L206" i="14"/>
  <c r="M206" i="14" s="1"/>
  <c r="N206" i="14" s="1"/>
  <c r="O206" i="14" s="1"/>
  <c r="P206" i="14" s="1"/>
  <c r="Q206" i="14" s="1"/>
  <c r="G203" i="14"/>
  <c r="O197" i="14"/>
  <c r="K190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O173" i="14"/>
  <c r="Q284" i="14"/>
  <c r="P284" i="14"/>
  <c r="I276" i="14"/>
  <c r="H284" i="14"/>
  <c r="Q292" i="14"/>
  <c r="P292" i="14"/>
  <c r="I290" i="14"/>
  <c r="H283" i="14"/>
  <c r="Q278" i="14"/>
  <c r="P282" i="14"/>
  <c r="I282" i="14"/>
  <c r="H282" i="14"/>
  <c r="Q288" i="14"/>
  <c r="P289" i="14"/>
  <c r="O199" i="14"/>
  <c r="K202" i="14"/>
  <c r="I286" i="14"/>
  <c r="H291" i="14"/>
  <c r="G205" i="14"/>
  <c r="G11" i="14"/>
  <c r="H11" i="14" s="1"/>
  <c r="I11" i="14" s="1"/>
  <c r="Q293" i="14"/>
  <c r="P293" i="14"/>
  <c r="O191" i="14"/>
  <c r="L203" i="14"/>
  <c r="K194" i="14"/>
  <c r="G197" i="14"/>
  <c r="D132" i="14"/>
  <c r="D124" i="14"/>
  <c r="D119" i="14"/>
  <c r="D79" i="14"/>
  <c r="C71" i="14"/>
  <c r="G14" i="14"/>
  <c r="H14" i="14" s="1"/>
  <c r="I14" i="14"/>
  <c r="J14" i="14"/>
  <c r="K14" i="14" s="1"/>
  <c r="G13" i="14"/>
  <c r="H13" i="14" s="1"/>
  <c r="G12" i="14"/>
  <c r="H12" i="14" s="1"/>
  <c r="I12" i="14"/>
  <c r="J12" i="14" s="1"/>
  <c r="K12" i="14" s="1"/>
  <c r="L12" i="14" s="1"/>
  <c r="M12" i="14"/>
  <c r="N12" i="14" s="1"/>
  <c r="O12" i="14" s="1"/>
  <c r="P12" i="14" s="1"/>
  <c r="Q12" i="14" s="1"/>
  <c r="F9" i="14"/>
  <c r="G9" i="14" s="1"/>
  <c r="H8" i="14"/>
  <c r="I8" i="14"/>
  <c r="F7" i="14"/>
  <c r="G7" i="14" s="1"/>
  <c r="H6" i="14"/>
  <c r="F5" i="14"/>
  <c r="G370" i="14" s="1"/>
  <c r="H4" i="14"/>
  <c r="F9" i="8"/>
  <c r="F7" i="8"/>
  <c r="F5" i="8"/>
  <c r="F39" i="15"/>
  <c r="F85" i="8"/>
  <c r="Q261" i="15"/>
  <c r="Q182" i="15"/>
  <c r="P182" i="15"/>
  <c r="Q214" i="15"/>
  <c r="J240" i="14"/>
  <c r="O261" i="14"/>
  <c r="P240" i="14"/>
  <c r="P262" i="14"/>
  <c r="F359" i="15"/>
  <c r="F337" i="15"/>
  <c r="F344" i="15"/>
  <c r="F352" i="15"/>
  <c r="I6" i="14"/>
  <c r="J6" i="14"/>
  <c r="K6" i="14" s="1"/>
  <c r="H9" i="14"/>
  <c r="I9" i="14" s="1"/>
  <c r="J9" i="14" s="1"/>
  <c r="F370" i="14"/>
  <c r="Q281" i="14"/>
  <c r="I287" i="14"/>
  <c r="G193" i="14"/>
  <c r="O203" i="14"/>
  <c r="I208" i="14"/>
  <c r="P274" i="14"/>
  <c r="H276" i="14"/>
  <c r="P278" i="14"/>
  <c r="P279" i="14"/>
  <c r="H281" i="14"/>
  <c r="P283" i="14"/>
  <c r="H285" i="14"/>
  <c r="H178" i="14" s="1"/>
  <c r="P287" i="14"/>
  <c r="H289" i="14"/>
  <c r="I291" i="14"/>
  <c r="M173" i="15"/>
  <c r="K209" i="15"/>
  <c r="G212" i="15"/>
  <c r="G340" i="15" s="1"/>
  <c r="G214" i="15"/>
  <c r="G219" i="15"/>
  <c r="G347" i="15"/>
  <c r="F221" i="15"/>
  <c r="F349" i="15"/>
  <c r="G222" i="15"/>
  <c r="G350" i="15" s="1"/>
  <c r="H223" i="15"/>
  <c r="G227" i="15"/>
  <c r="G355" i="15"/>
  <c r="L229" i="15"/>
  <c r="G232" i="15"/>
  <c r="G360" i="15"/>
  <c r="K236" i="15"/>
  <c r="F422" i="15"/>
  <c r="I283" i="14"/>
  <c r="Q285" i="14"/>
  <c r="Q289" i="14"/>
  <c r="Q290" i="14"/>
  <c r="I292" i="14"/>
  <c r="Q208" i="14"/>
  <c r="Q273" i="14"/>
  <c r="I275" i="14"/>
  <c r="Q277" i="14"/>
  <c r="I279" i="14"/>
  <c r="I280" i="14"/>
  <c r="Q282" i="14"/>
  <c r="I284" i="14"/>
  <c r="Q286" i="14"/>
  <c r="I288" i="14"/>
  <c r="P290" i="14"/>
  <c r="H292" i="14"/>
  <c r="L174" i="15"/>
  <c r="P209" i="15"/>
  <c r="H213" i="15"/>
  <c r="H218" i="15"/>
  <c r="L222" i="15"/>
  <c r="M222" i="15" s="1"/>
  <c r="N222" i="15" s="1"/>
  <c r="O222" i="15" s="1"/>
  <c r="P222" i="15" s="1"/>
  <c r="Q222" i="15" s="1"/>
  <c r="K200" i="14"/>
  <c r="O205" i="14"/>
  <c r="Q274" i="14"/>
  <c r="H280" i="14"/>
  <c r="P286" i="14"/>
  <c r="H288" i="14"/>
  <c r="P291" i="14"/>
  <c r="H293" i="14"/>
  <c r="P173" i="15"/>
  <c r="O209" i="15"/>
  <c r="G213" i="15"/>
  <c r="G341" i="15" s="1"/>
  <c r="G217" i="15"/>
  <c r="G345" i="15" s="1"/>
  <c r="G218" i="15"/>
  <c r="G346" i="15"/>
  <c r="K222" i="15"/>
  <c r="K223" i="15"/>
  <c r="H225" i="15"/>
  <c r="H227" i="15"/>
  <c r="K232" i="15"/>
  <c r="G422" i="15"/>
  <c r="J8" i="15"/>
  <c r="J13" i="15"/>
  <c r="F367" i="15"/>
  <c r="G367" i="15"/>
  <c r="F431" i="15"/>
  <c r="F421" i="15"/>
  <c r="G424" i="15"/>
  <c r="H7" i="15"/>
  <c r="I7" i="15" s="1"/>
  <c r="J7" i="15" s="1"/>
  <c r="K7" i="15" s="1"/>
  <c r="L7" i="15" s="1"/>
  <c r="G430" i="15"/>
  <c r="G377" i="15"/>
  <c r="F377" i="15"/>
  <c r="G400" i="15"/>
  <c r="J6" i="15"/>
  <c r="H11" i="15"/>
  <c r="G374" i="15"/>
  <c r="G370" i="15"/>
  <c r="G366" i="15"/>
  <c r="G386" i="15"/>
  <c r="G381" i="15"/>
  <c r="G357" i="15"/>
  <c r="G353" i="15"/>
  <c r="G352" i="15"/>
  <c r="G348" i="15"/>
  <c r="G337" i="15"/>
  <c r="G332" i="15"/>
  <c r="G398" i="15"/>
  <c r="G389" i="15"/>
  <c r="G438" i="15"/>
  <c r="G5" i="15"/>
  <c r="H389" i="15" s="1"/>
  <c r="G9" i="15"/>
  <c r="I214" i="15"/>
  <c r="I213" i="15"/>
  <c r="I212" i="15"/>
  <c r="I215" i="15"/>
  <c r="I173" i="15"/>
  <c r="M170" i="15"/>
  <c r="Q173" i="15"/>
  <c r="I219" i="15"/>
  <c r="I218" i="15"/>
  <c r="I217" i="15"/>
  <c r="I220" i="15"/>
  <c r="I221" i="15"/>
  <c r="I224" i="15"/>
  <c r="I223" i="15"/>
  <c r="I222" i="15"/>
  <c r="I226" i="15"/>
  <c r="I231" i="15"/>
  <c r="I230" i="15"/>
  <c r="I229" i="15"/>
  <c r="I227" i="15"/>
  <c r="I228" i="15"/>
  <c r="M227" i="15"/>
  <c r="N227" i="15" s="1"/>
  <c r="O227" i="15" s="1"/>
  <c r="P227" i="15" s="1"/>
  <c r="Q227" i="15" s="1"/>
  <c r="M228" i="15"/>
  <c r="N228" i="15"/>
  <c r="O228" i="15" s="1"/>
  <c r="P228" i="15" s="1"/>
  <c r="Q228" i="15" s="1"/>
  <c r="I232" i="15"/>
  <c r="I236" i="15"/>
  <c r="I235" i="15"/>
  <c r="I234" i="15"/>
  <c r="I233" i="15"/>
  <c r="M233" i="15"/>
  <c r="M232" i="15"/>
  <c r="M235" i="15"/>
  <c r="M234" i="15"/>
  <c r="I209" i="15"/>
  <c r="M209" i="15"/>
  <c r="M174" i="15"/>
  <c r="Q209" i="15"/>
  <c r="F440" i="15"/>
  <c r="I170" i="15"/>
  <c r="I174" i="15"/>
  <c r="G382" i="15"/>
  <c r="G363" i="15"/>
  <c r="G436" i="15"/>
  <c r="G368" i="15"/>
  <c r="F368" i="15"/>
  <c r="H217" i="15"/>
  <c r="H219" i="15"/>
  <c r="H228" i="15"/>
  <c r="G390" i="15"/>
  <c r="G423" i="15"/>
  <c r="F423" i="15"/>
  <c r="G373" i="15"/>
  <c r="F373" i="15"/>
  <c r="F379" i="15"/>
  <c r="G379" i="15"/>
  <c r="H216" i="15"/>
  <c r="H236" i="15"/>
  <c r="H233" i="15"/>
  <c r="H232" i="15"/>
  <c r="L236" i="15"/>
  <c r="L234" i="15"/>
  <c r="L233" i="15"/>
  <c r="G394" i="15"/>
  <c r="G432" i="15"/>
  <c r="F432" i="15"/>
  <c r="G372" i="15"/>
  <c r="F372" i="15"/>
  <c r="G391" i="15"/>
  <c r="F391" i="15"/>
  <c r="H170" i="15"/>
  <c r="P170" i="15"/>
  <c r="L173" i="15"/>
  <c r="H174" i="15"/>
  <c r="P174" i="15"/>
  <c r="L209" i="15"/>
  <c r="H212" i="15"/>
  <c r="H340" i="15" s="1"/>
  <c r="H214" i="15"/>
  <c r="H220" i="15"/>
  <c r="H222" i="15"/>
  <c r="H224" i="15"/>
  <c r="L227" i="15"/>
  <c r="H229" i="15"/>
  <c r="H230" i="15"/>
  <c r="L232" i="15"/>
  <c r="F389" i="15"/>
  <c r="F229" i="15"/>
  <c r="F357" i="15"/>
  <c r="F228" i="15"/>
  <c r="F356" i="15" s="1"/>
  <c r="J229" i="15"/>
  <c r="J228" i="15"/>
  <c r="F234" i="15"/>
  <c r="F362" i="15" s="1"/>
  <c r="F233" i="15"/>
  <c r="F361" i="15"/>
  <c r="F232" i="15"/>
  <c r="F360" i="15" s="1"/>
  <c r="J234" i="15"/>
  <c r="J233" i="15"/>
  <c r="J232" i="15"/>
  <c r="N233" i="15"/>
  <c r="O233" i="15" s="1"/>
  <c r="P233" i="15"/>
  <c r="Q233" i="15"/>
  <c r="N232" i="15"/>
  <c r="O232" i="15" s="1"/>
  <c r="P232" i="15"/>
  <c r="Q232" i="15" s="1"/>
  <c r="G393" i="15"/>
  <c r="G427" i="15"/>
  <c r="F427" i="15"/>
  <c r="G428" i="15"/>
  <c r="G435" i="15"/>
  <c r="F435" i="15"/>
  <c r="F438" i="15"/>
  <c r="G334" i="15"/>
  <c r="F334" i="15"/>
  <c r="F354" i="15"/>
  <c r="G358" i="15"/>
  <c r="F358" i="15"/>
  <c r="G365" i="15"/>
  <c r="F365" i="15"/>
  <c r="G371" i="15"/>
  <c r="G376" i="15"/>
  <c r="F376" i="15"/>
  <c r="G383" i="15"/>
  <c r="F383" i="15"/>
  <c r="G399" i="15"/>
  <c r="F439" i="15"/>
  <c r="F170" i="15"/>
  <c r="J170" i="15"/>
  <c r="N170" i="15"/>
  <c r="F173" i="15"/>
  <c r="J173" i="15"/>
  <c r="N173" i="15"/>
  <c r="F174" i="15"/>
  <c r="J174" i="15"/>
  <c r="N174" i="15"/>
  <c r="F316" i="15"/>
  <c r="F319" i="15"/>
  <c r="F320" i="15"/>
  <c r="F322" i="15"/>
  <c r="F323" i="15"/>
  <c r="F325" i="15"/>
  <c r="F326" i="15"/>
  <c r="F328" i="15"/>
  <c r="F329" i="15"/>
  <c r="F331" i="15"/>
  <c r="F332" i="15"/>
  <c r="F215" i="15"/>
  <c r="F343" i="15" s="1"/>
  <c r="G216" i="15"/>
  <c r="G344" i="15"/>
  <c r="F220" i="15"/>
  <c r="F348" i="15"/>
  <c r="J220" i="15"/>
  <c r="G221" i="15"/>
  <c r="G349" i="15"/>
  <c r="F225" i="15"/>
  <c r="F353" i="15" s="1"/>
  <c r="J225" i="15"/>
  <c r="G226" i="15"/>
  <c r="G354" i="15" s="1"/>
  <c r="K228" i="15"/>
  <c r="G233" i="15"/>
  <c r="G361" i="15"/>
  <c r="K234" i="15"/>
  <c r="F428" i="15"/>
  <c r="F390" i="15"/>
  <c r="G395" i="15"/>
  <c r="F395" i="15"/>
  <c r="F426" i="15"/>
  <c r="G426" i="15"/>
  <c r="G319" i="15"/>
  <c r="G335" i="15"/>
  <c r="G351" i="15"/>
  <c r="G359" i="15"/>
  <c r="G364" i="15"/>
  <c r="F364" i="15"/>
  <c r="G369" i="15"/>
  <c r="F369" i="15"/>
  <c r="F375" i="15"/>
  <c r="G375" i="15"/>
  <c r="G380" i="15"/>
  <c r="F380" i="15"/>
  <c r="G170" i="15"/>
  <c r="K170" i="15"/>
  <c r="O170" i="15"/>
  <c r="G173" i="15"/>
  <c r="K173" i="15"/>
  <c r="O173" i="15"/>
  <c r="G174" i="15"/>
  <c r="K174" i="15"/>
  <c r="O174" i="15"/>
  <c r="G316" i="15"/>
  <c r="G320" i="15"/>
  <c r="G322" i="15"/>
  <c r="G323" i="15"/>
  <c r="G325" i="15"/>
  <c r="G328" i="15"/>
  <c r="G329" i="15"/>
  <c r="G331" i="15"/>
  <c r="J209" i="15"/>
  <c r="F212" i="15"/>
  <c r="N212" i="15"/>
  <c r="F213" i="15"/>
  <c r="F341" i="15"/>
  <c r="F214" i="15"/>
  <c r="F342" i="15" s="1"/>
  <c r="F217" i="15"/>
  <c r="F345" i="15"/>
  <c r="J217" i="15"/>
  <c r="F218" i="15"/>
  <c r="F346" i="15" s="1"/>
  <c r="J218" i="15"/>
  <c r="F222" i="15"/>
  <c r="F350" i="15" s="1"/>
  <c r="J222" i="15"/>
  <c r="F223" i="15"/>
  <c r="F351" i="15" s="1"/>
  <c r="J223" i="15"/>
  <c r="F227" i="15"/>
  <c r="F355" i="15"/>
  <c r="J227" i="15"/>
  <c r="G228" i="15"/>
  <c r="G356" i="15" s="1"/>
  <c r="K229" i="15"/>
  <c r="J230" i="15"/>
  <c r="J358" i="15" s="1"/>
  <c r="J231" i="15"/>
  <c r="G234" i="15"/>
  <c r="G362" i="15"/>
  <c r="J235" i="15"/>
  <c r="J236" i="15"/>
  <c r="G437" i="15"/>
  <c r="F434" i="15"/>
  <c r="G384" i="15"/>
  <c r="G387" i="15"/>
  <c r="F387" i="15"/>
  <c r="F425" i="15"/>
  <c r="G434" i="15"/>
  <c r="G388" i="15"/>
  <c r="G425" i="15"/>
  <c r="G433" i="14"/>
  <c r="F433" i="14"/>
  <c r="J11" i="14"/>
  <c r="F344" i="14"/>
  <c r="F341" i="14"/>
  <c r="F197" i="14"/>
  <c r="F325" i="14" s="1"/>
  <c r="F191" i="14"/>
  <c r="F319" i="14"/>
  <c r="F343" i="14"/>
  <c r="F200" i="14"/>
  <c r="F328" i="14"/>
  <c r="F194" i="14"/>
  <c r="F322" i="14" s="1"/>
  <c r="F188" i="14"/>
  <c r="F203" i="14"/>
  <c r="F331" i="14"/>
  <c r="F293" i="14"/>
  <c r="J200" i="14"/>
  <c r="J194" i="14"/>
  <c r="J188" i="14"/>
  <c r="J203" i="14"/>
  <c r="J197" i="14"/>
  <c r="J191" i="14"/>
  <c r="J173" i="14"/>
  <c r="N293" i="14"/>
  <c r="N203" i="14"/>
  <c r="N197" i="14"/>
  <c r="N191" i="14"/>
  <c r="N200" i="14"/>
  <c r="N194" i="14"/>
  <c r="N188" i="14"/>
  <c r="N173" i="14"/>
  <c r="F349" i="14"/>
  <c r="F345" i="14"/>
  <c r="F348" i="14"/>
  <c r="F346" i="14"/>
  <c r="F354" i="14"/>
  <c r="F353" i="14"/>
  <c r="F351" i="14"/>
  <c r="F352" i="14"/>
  <c r="F350" i="14"/>
  <c r="F358" i="14"/>
  <c r="F356" i="14"/>
  <c r="F359" i="14"/>
  <c r="F355" i="14"/>
  <c r="F363" i="14"/>
  <c r="F364" i="14"/>
  <c r="F360" i="14"/>
  <c r="F362" i="14"/>
  <c r="F361" i="14"/>
  <c r="F288" i="14"/>
  <c r="F416" i="14" s="1"/>
  <c r="F291" i="14"/>
  <c r="F419" i="14"/>
  <c r="F287" i="14"/>
  <c r="F415" i="14"/>
  <c r="F289" i="14"/>
  <c r="F417" i="14"/>
  <c r="F281" i="14"/>
  <c r="F409" i="14" s="1"/>
  <c r="F273" i="14"/>
  <c r="F339" i="14"/>
  <c r="F205" i="14"/>
  <c r="F333" i="14"/>
  <c r="F199" i="14"/>
  <c r="F327" i="14"/>
  <c r="F193" i="14"/>
  <c r="F321" i="14" s="1"/>
  <c r="F286" i="14"/>
  <c r="F414" i="14"/>
  <c r="F202" i="14"/>
  <c r="F330" i="14"/>
  <c r="F196" i="14"/>
  <c r="F324" i="14"/>
  <c r="F190" i="14"/>
  <c r="F318" i="14" s="1"/>
  <c r="F285" i="14"/>
  <c r="F413" i="14"/>
  <c r="F208" i="14"/>
  <c r="F336" i="14"/>
  <c r="F277" i="14"/>
  <c r="F405" i="14"/>
  <c r="F338" i="14"/>
  <c r="J202" i="14"/>
  <c r="J196" i="14"/>
  <c r="J190" i="14"/>
  <c r="J205" i="14"/>
  <c r="J199" i="14"/>
  <c r="J193" i="14"/>
  <c r="N286" i="14"/>
  <c r="N289" i="14"/>
  <c r="N285" i="14"/>
  <c r="N281" i="14"/>
  <c r="N277" i="14"/>
  <c r="N273" i="14"/>
  <c r="N291" i="14"/>
  <c r="N205" i="14"/>
  <c r="N199" i="14"/>
  <c r="N193" i="14"/>
  <c r="N288" i="14"/>
  <c r="N202" i="14"/>
  <c r="N196" i="14"/>
  <c r="N190" i="14"/>
  <c r="N208" i="14"/>
  <c r="N287" i="14"/>
  <c r="F282" i="14"/>
  <c r="F410" i="14"/>
  <c r="F274" i="14"/>
  <c r="F402" i="14" s="1"/>
  <c r="F278" i="14"/>
  <c r="F406" i="14"/>
  <c r="N282" i="14"/>
  <c r="N278" i="14"/>
  <c r="N274" i="14"/>
  <c r="F292" i="14"/>
  <c r="F420" i="14"/>
  <c r="F283" i="14"/>
  <c r="F411" i="14"/>
  <c r="F279" i="14"/>
  <c r="F275" i="14"/>
  <c r="F403" i="14" s="1"/>
  <c r="F290" i="14"/>
  <c r="F418" i="14"/>
  <c r="N290" i="14"/>
  <c r="N283" i="14"/>
  <c r="N275" i="14"/>
  <c r="N292" i="14"/>
  <c r="F284" i="14"/>
  <c r="F412" i="14" s="1"/>
  <c r="F280" i="14"/>
  <c r="F408" i="14"/>
  <c r="F276" i="14"/>
  <c r="F404" i="14"/>
  <c r="N284" i="14"/>
  <c r="N276" i="14"/>
  <c r="N280" i="14"/>
  <c r="G393" i="14"/>
  <c r="F393" i="14"/>
  <c r="F394" i="14"/>
  <c r="G394" i="14"/>
  <c r="G399" i="14"/>
  <c r="F399" i="14"/>
  <c r="I4" i="14"/>
  <c r="F173" i="14"/>
  <c r="F342" i="14"/>
  <c r="I13" i="14"/>
  <c r="J13" i="14" s="1"/>
  <c r="K13" i="14" s="1"/>
  <c r="L13" i="14" s="1"/>
  <c r="J8" i="14"/>
  <c r="F340" i="14"/>
  <c r="G427" i="14"/>
  <c r="F427" i="14"/>
  <c r="G436" i="14"/>
  <c r="F436" i="14"/>
  <c r="G439" i="14"/>
  <c r="F439" i="14"/>
  <c r="G293" i="14"/>
  <c r="G342" i="14"/>
  <c r="G341" i="14"/>
  <c r="G343" i="14"/>
  <c r="G200" i="14"/>
  <c r="G328" i="14"/>
  <c r="G194" i="14"/>
  <c r="G322" i="14"/>
  <c r="G188" i="14"/>
  <c r="G316" i="14"/>
  <c r="G344" i="14"/>
  <c r="K203" i="14"/>
  <c r="K197" i="14"/>
  <c r="K191" i="14"/>
  <c r="K173" i="14"/>
  <c r="O293" i="14"/>
  <c r="O200" i="14"/>
  <c r="O194" i="14"/>
  <c r="O188" i="14"/>
  <c r="G347" i="14"/>
  <c r="G346" i="14"/>
  <c r="G345" i="14"/>
  <c r="G349" i="14"/>
  <c r="G352" i="14"/>
  <c r="G354" i="14"/>
  <c r="G359" i="14"/>
  <c r="G357" i="14"/>
  <c r="G355" i="14"/>
  <c r="G358" i="14"/>
  <c r="G363" i="14"/>
  <c r="G362" i="14"/>
  <c r="G291" i="14"/>
  <c r="G419" i="14"/>
  <c r="G289" i="14"/>
  <c r="G417" i="14" s="1"/>
  <c r="G288" i="14"/>
  <c r="G416" i="14" s="1"/>
  <c r="G287" i="14"/>
  <c r="G286" i="14"/>
  <c r="G414" i="14"/>
  <c r="G285" i="14"/>
  <c r="G413" i="14" s="1"/>
  <c r="G281" i="14"/>
  <c r="G277" i="14"/>
  <c r="G405" i="14" s="1"/>
  <c r="G273" i="14"/>
  <c r="G339" i="14"/>
  <c r="G338" i="14"/>
  <c r="G208" i="14"/>
  <c r="G336" i="14" s="1"/>
  <c r="G202" i="14"/>
  <c r="G330" i="14"/>
  <c r="G196" i="14"/>
  <c r="G190" i="14"/>
  <c r="G318" i="14" s="1"/>
  <c r="K205" i="14"/>
  <c r="K199" i="14"/>
  <c r="K193" i="14"/>
  <c r="O291" i="14"/>
  <c r="O289" i="14"/>
  <c r="O288" i="14"/>
  <c r="O287" i="14"/>
  <c r="O286" i="14"/>
  <c r="O285" i="14"/>
  <c r="O281" i="14"/>
  <c r="O277" i="14"/>
  <c r="O273" i="14"/>
  <c r="O208" i="14"/>
  <c r="O202" i="14"/>
  <c r="O196" i="14"/>
  <c r="O190" i="14"/>
  <c r="G282" i="14"/>
  <c r="G410" i="14"/>
  <c r="G278" i="14"/>
  <c r="G406" i="14" s="1"/>
  <c r="G274" i="14"/>
  <c r="G178" i="14" s="1"/>
  <c r="O282" i="14"/>
  <c r="O278" i="14"/>
  <c r="O274" i="14"/>
  <c r="G292" i="14"/>
  <c r="G420" i="14"/>
  <c r="G290" i="14"/>
  <c r="G418" i="14" s="1"/>
  <c r="G283" i="14"/>
  <c r="G411" i="14"/>
  <c r="G279" i="14"/>
  <c r="G407" i="14" s="1"/>
  <c r="G275" i="14"/>
  <c r="G403" i="14"/>
  <c r="O292" i="14"/>
  <c r="O290" i="14"/>
  <c r="O283" i="14"/>
  <c r="O279" i="14"/>
  <c r="O275" i="14"/>
  <c r="G284" i="14"/>
  <c r="G412" i="14"/>
  <c r="G280" i="14"/>
  <c r="G408" i="14" s="1"/>
  <c r="G276" i="14"/>
  <c r="O284" i="14"/>
  <c r="O280" i="14"/>
  <c r="O276" i="14"/>
  <c r="F389" i="14"/>
  <c r="G389" i="14"/>
  <c r="G379" i="14"/>
  <c r="F379" i="14"/>
  <c r="G173" i="14"/>
  <c r="K188" i="14"/>
  <c r="G191" i="14"/>
  <c r="G319" i="14"/>
  <c r="O193" i="14"/>
  <c r="K196" i="14"/>
  <c r="G199" i="14"/>
  <c r="G327" i="14" s="1"/>
  <c r="G353" i="14"/>
  <c r="G400" i="14"/>
  <c r="F400" i="14"/>
  <c r="G377" i="14"/>
  <c r="G374" i="14"/>
  <c r="G367" i="14"/>
  <c r="G386" i="14"/>
  <c r="G373" i="14"/>
  <c r="G437" i="14"/>
  <c r="G378" i="14"/>
  <c r="G409" i="14"/>
  <c r="G390" i="14"/>
  <c r="G392" i="14"/>
  <c r="F392" i="14"/>
  <c r="G425" i="14"/>
  <c r="F425" i="14"/>
  <c r="G376" i="14"/>
  <c r="F376" i="14"/>
  <c r="G334" i="14"/>
  <c r="G350" i="14"/>
  <c r="G361" i="14"/>
  <c r="G369" i="14"/>
  <c r="G395" i="14"/>
  <c r="F395" i="14"/>
  <c r="G431" i="14"/>
  <c r="F431" i="14"/>
  <c r="I203" i="14"/>
  <c r="I200" i="14"/>
  <c r="I197" i="14"/>
  <c r="I194" i="14"/>
  <c r="I191" i="14"/>
  <c r="I188" i="14"/>
  <c r="I173" i="14"/>
  <c r="I293" i="14"/>
  <c r="M203" i="14"/>
  <c r="M200" i="14"/>
  <c r="M197" i="14"/>
  <c r="M194" i="14"/>
  <c r="M191" i="14"/>
  <c r="M188" i="14"/>
  <c r="M173" i="14"/>
  <c r="Q203" i="14"/>
  <c r="Q200" i="14"/>
  <c r="Q197" i="14"/>
  <c r="Q194" i="14"/>
  <c r="Q191" i="14"/>
  <c r="Q188" i="14"/>
  <c r="Q173" i="14"/>
  <c r="G423" i="14"/>
  <c r="F423" i="14"/>
  <c r="F426" i="14"/>
  <c r="G426" i="14"/>
  <c r="G428" i="14"/>
  <c r="F428" i="14"/>
  <c r="G434" i="14"/>
  <c r="F438" i="14"/>
  <c r="G331" i="14"/>
  <c r="G335" i="14"/>
  <c r="F335" i="14"/>
  <c r="F347" i="14"/>
  <c r="G391" i="14"/>
  <c r="F391" i="14"/>
  <c r="G424" i="14"/>
  <c r="F424" i="14"/>
  <c r="G440" i="14"/>
  <c r="F440" i="14"/>
  <c r="G430" i="14"/>
  <c r="G325" i="14"/>
  <c r="G333" i="14"/>
  <c r="G365" i="14"/>
  <c r="G385" i="14"/>
  <c r="G438" i="14"/>
  <c r="G435" i="14"/>
  <c r="F435" i="14"/>
  <c r="G340" i="14"/>
  <c r="G348" i="14"/>
  <c r="G356" i="14"/>
  <c r="G383" i="14"/>
  <c r="F383" i="14"/>
  <c r="H173" i="14"/>
  <c r="L173" i="14"/>
  <c r="P173" i="14"/>
  <c r="H188" i="14"/>
  <c r="L188" i="14"/>
  <c r="P188" i="14"/>
  <c r="H190" i="14"/>
  <c r="L190" i="14"/>
  <c r="P190" i="14"/>
  <c r="H191" i="14"/>
  <c r="L191" i="14"/>
  <c r="P191" i="14"/>
  <c r="H193" i="14"/>
  <c r="L193" i="14"/>
  <c r="P193" i="14"/>
  <c r="H194" i="14"/>
  <c r="L194" i="14"/>
  <c r="P194" i="14"/>
  <c r="H196" i="14"/>
  <c r="L196" i="14"/>
  <c r="P196" i="14"/>
  <c r="H197" i="14"/>
  <c r="L197" i="14"/>
  <c r="P197" i="14"/>
  <c r="H199" i="14"/>
  <c r="L199" i="14"/>
  <c r="P199" i="14"/>
  <c r="H200" i="14"/>
  <c r="L200" i="14"/>
  <c r="P200" i="14"/>
  <c r="H202" i="14"/>
  <c r="L202" i="14"/>
  <c r="P202" i="14"/>
  <c r="H203" i="14"/>
  <c r="P203" i="14"/>
  <c r="H205" i="14"/>
  <c r="L205" i="14"/>
  <c r="P205" i="14"/>
  <c r="I273" i="14"/>
  <c r="H274" i="14"/>
  <c r="Q275" i="14"/>
  <c r="P276" i="14"/>
  <c r="I277" i="14"/>
  <c r="H278" i="14"/>
  <c r="Q279" i="14"/>
  <c r="P280" i="14"/>
  <c r="I281" i="14"/>
  <c r="Q283" i="14"/>
  <c r="I285" i="14"/>
  <c r="H286" i="14"/>
  <c r="Q287" i="14"/>
  <c r="P288" i="14"/>
  <c r="I289" i="14"/>
  <c r="H290" i="14"/>
  <c r="Q291" i="14"/>
  <c r="G396" i="14"/>
  <c r="F430" i="14"/>
  <c r="G380" i="14"/>
  <c r="F380" i="14"/>
  <c r="I190" i="14"/>
  <c r="M190" i="14"/>
  <c r="Q190" i="14"/>
  <c r="I193" i="14"/>
  <c r="M193" i="14"/>
  <c r="Q193" i="14"/>
  <c r="I196" i="14"/>
  <c r="M196" i="14"/>
  <c r="Q196" i="14"/>
  <c r="I199" i="14"/>
  <c r="M199" i="14"/>
  <c r="Q199" i="14"/>
  <c r="I202" i="14"/>
  <c r="M202" i="14"/>
  <c r="Q202" i="14"/>
  <c r="I205" i="14"/>
  <c r="M205" i="14"/>
  <c r="Q205" i="14"/>
  <c r="H208" i="14"/>
  <c r="P208" i="14"/>
  <c r="P273" i="14"/>
  <c r="I274" i="14"/>
  <c r="H275" i="14"/>
  <c r="Q276" i="14"/>
  <c r="P277" i="14"/>
  <c r="I278" i="14"/>
  <c r="H279" i="14"/>
  <c r="Q280" i="14"/>
  <c r="P281" i="14"/>
  <c r="P285" i="14"/>
  <c r="H287" i="14"/>
  <c r="F390" i="14"/>
  <c r="F398" i="14"/>
  <c r="G364" i="14"/>
  <c r="F367" i="14"/>
  <c r="G368" i="14"/>
  <c r="F371" i="14"/>
  <c r="G372" i="14"/>
  <c r="G384" i="14"/>
  <c r="G387" i="14"/>
  <c r="F387" i="14"/>
  <c r="G375" i="14"/>
  <c r="F375" i="14"/>
  <c r="G388" i="14"/>
  <c r="D149" i="8"/>
  <c r="D141" i="8"/>
  <c r="D136" i="8"/>
  <c r="D79" i="8"/>
  <c r="A449" i="8"/>
  <c r="B449" i="8"/>
  <c r="A450" i="8"/>
  <c r="B450" i="8"/>
  <c r="A451" i="8"/>
  <c r="B451" i="8"/>
  <c r="A452" i="8"/>
  <c r="B452" i="8"/>
  <c r="A453" i="8"/>
  <c r="B453" i="8"/>
  <c r="A454" i="8"/>
  <c r="B454" i="8"/>
  <c r="A455" i="8"/>
  <c r="B455" i="8"/>
  <c r="A456" i="8"/>
  <c r="B456" i="8"/>
  <c r="A457" i="8"/>
  <c r="B457" i="8"/>
  <c r="A458" i="8"/>
  <c r="B458" i="8"/>
  <c r="A427" i="8"/>
  <c r="B427" i="8"/>
  <c r="D427" i="8"/>
  <c r="A428" i="8"/>
  <c r="B428" i="8"/>
  <c r="D428" i="8"/>
  <c r="A429" i="8"/>
  <c r="B429" i="8"/>
  <c r="D429" i="8"/>
  <c r="A430" i="8"/>
  <c r="B430" i="8"/>
  <c r="D430" i="8"/>
  <c r="A431" i="8"/>
  <c r="B431" i="8"/>
  <c r="D431" i="8"/>
  <c r="A432" i="8"/>
  <c r="B432" i="8"/>
  <c r="D432" i="8"/>
  <c r="A433" i="8"/>
  <c r="B433" i="8"/>
  <c r="D433" i="8"/>
  <c r="A434" i="8"/>
  <c r="B434" i="8"/>
  <c r="D434" i="8"/>
  <c r="A435" i="8"/>
  <c r="B435" i="8"/>
  <c r="D435" i="8"/>
  <c r="A436" i="8"/>
  <c r="B436" i="8"/>
  <c r="D436" i="8"/>
  <c r="A437" i="8"/>
  <c r="B437" i="8"/>
  <c r="D437" i="8"/>
  <c r="A438" i="8"/>
  <c r="B438" i="8"/>
  <c r="D438" i="8"/>
  <c r="A439" i="8"/>
  <c r="B439" i="8"/>
  <c r="D439" i="8"/>
  <c r="A440" i="8"/>
  <c r="B440" i="8"/>
  <c r="D440" i="8"/>
  <c r="A441" i="8"/>
  <c r="B441" i="8"/>
  <c r="A442" i="8"/>
  <c r="B442" i="8"/>
  <c r="A443" i="8"/>
  <c r="B443" i="8"/>
  <c r="A444" i="8"/>
  <c r="B444" i="8"/>
  <c r="A445" i="8"/>
  <c r="B445" i="8"/>
  <c r="A446" i="8"/>
  <c r="B446" i="8"/>
  <c r="A447" i="8"/>
  <c r="B447" i="8"/>
  <c r="A448" i="8"/>
  <c r="B448" i="8"/>
  <c r="A335" i="8"/>
  <c r="B335" i="8"/>
  <c r="D335" i="8"/>
  <c r="A336" i="8"/>
  <c r="B336" i="8"/>
  <c r="D336" i="8"/>
  <c r="A337" i="8"/>
  <c r="B337" i="8"/>
  <c r="D337" i="8"/>
  <c r="A338" i="8"/>
  <c r="B338" i="8"/>
  <c r="D338" i="8"/>
  <c r="A339" i="8"/>
  <c r="B339" i="8"/>
  <c r="D339" i="8"/>
  <c r="A340" i="8"/>
  <c r="B340" i="8"/>
  <c r="D340" i="8"/>
  <c r="A341" i="8"/>
  <c r="B341" i="8"/>
  <c r="D341" i="8"/>
  <c r="A342" i="8"/>
  <c r="B342" i="8"/>
  <c r="D342" i="8"/>
  <c r="A343" i="8"/>
  <c r="B343" i="8"/>
  <c r="D343" i="8"/>
  <c r="A344" i="8"/>
  <c r="B344" i="8"/>
  <c r="D344" i="8"/>
  <c r="A345" i="8"/>
  <c r="B345" i="8"/>
  <c r="D345" i="8"/>
  <c r="A346" i="8"/>
  <c r="B346" i="8"/>
  <c r="D346" i="8"/>
  <c r="A347" i="8"/>
  <c r="B347" i="8"/>
  <c r="D347" i="8"/>
  <c r="A348" i="8"/>
  <c r="B348" i="8"/>
  <c r="D348" i="8"/>
  <c r="A349" i="8"/>
  <c r="B349" i="8"/>
  <c r="D349" i="8"/>
  <c r="A350" i="8"/>
  <c r="B350" i="8"/>
  <c r="D350" i="8"/>
  <c r="A351" i="8"/>
  <c r="B351" i="8"/>
  <c r="D351" i="8"/>
  <c r="A352" i="8"/>
  <c r="B352" i="8"/>
  <c r="D352" i="8"/>
  <c r="A353" i="8"/>
  <c r="B353" i="8"/>
  <c r="D353" i="8"/>
  <c r="A354" i="8"/>
  <c r="B354" i="8"/>
  <c r="D354" i="8"/>
  <c r="A355" i="8"/>
  <c r="B355" i="8"/>
  <c r="D355" i="8"/>
  <c r="A356" i="8"/>
  <c r="B356" i="8"/>
  <c r="D356" i="8"/>
  <c r="A357" i="8"/>
  <c r="B357" i="8"/>
  <c r="D357" i="8"/>
  <c r="A358" i="8"/>
  <c r="B358" i="8"/>
  <c r="D358" i="8"/>
  <c r="A359" i="8"/>
  <c r="B359" i="8"/>
  <c r="D359" i="8"/>
  <c r="A360" i="8"/>
  <c r="B360" i="8"/>
  <c r="D360" i="8"/>
  <c r="A361" i="8"/>
  <c r="B361" i="8"/>
  <c r="D361" i="8"/>
  <c r="A362" i="8"/>
  <c r="B362" i="8"/>
  <c r="D362" i="8"/>
  <c r="A363" i="8"/>
  <c r="B363" i="8"/>
  <c r="D363" i="8"/>
  <c r="A364" i="8"/>
  <c r="B364" i="8"/>
  <c r="D364" i="8"/>
  <c r="A365" i="8"/>
  <c r="B365" i="8"/>
  <c r="D365" i="8"/>
  <c r="A366" i="8"/>
  <c r="B366" i="8"/>
  <c r="D366" i="8"/>
  <c r="A367" i="8"/>
  <c r="B367" i="8"/>
  <c r="D367" i="8"/>
  <c r="A368" i="8"/>
  <c r="B368" i="8"/>
  <c r="D368" i="8"/>
  <c r="A369" i="8"/>
  <c r="B369" i="8"/>
  <c r="D369" i="8"/>
  <c r="A370" i="8"/>
  <c r="B370" i="8"/>
  <c r="D370" i="8"/>
  <c r="A371" i="8"/>
  <c r="B371" i="8"/>
  <c r="D371" i="8"/>
  <c r="A372" i="8"/>
  <c r="B372" i="8"/>
  <c r="D372" i="8"/>
  <c r="A373" i="8"/>
  <c r="B373" i="8"/>
  <c r="D373" i="8"/>
  <c r="A374" i="8"/>
  <c r="B374" i="8"/>
  <c r="D374" i="8"/>
  <c r="A375" i="8"/>
  <c r="B375" i="8"/>
  <c r="D375" i="8"/>
  <c r="A376" i="8"/>
  <c r="B376" i="8"/>
  <c r="D376" i="8"/>
  <c r="A377" i="8"/>
  <c r="B377" i="8"/>
  <c r="D377" i="8"/>
  <c r="A378" i="8"/>
  <c r="B378" i="8"/>
  <c r="D378" i="8"/>
  <c r="A379" i="8"/>
  <c r="B379" i="8"/>
  <c r="D379" i="8"/>
  <c r="A380" i="8"/>
  <c r="B380" i="8"/>
  <c r="D380" i="8"/>
  <c r="A381" i="8"/>
  <c r="B381" i="8"/>
  <c r="D381" i="8"/>
  <c r="A382" i="8"/>
  <c r="B382" i="8"/>
  <c r="D382" i="8"/>
  <c r="A383" i="8"/>
  <c r="B383" i="8"/>
  <c r="D383" i="8"/>
  <c r="A384" i="8"/>
  <c r="B384" i="8"/>
  <c r="D384" i="8"/>
  <c r="A385" i="8"/>
  <c r="B385" i="8"/>
  <c r="D385" i="8"/>
  <c r="A386" i="8"/>
  <c r="B386" i="8"/>
  <c r="D386" i="8"/>
  <c r="A387" i="8"/>
  <c r="B387" i="8"/>
  <c r="D387" i="8"/>
  <c r="A388" i="8"/>
  <c r="B388" i="8"/>
  <c r="D388" i="8"/>
  <c r="A389" i="8"/>
  <c r="B389" i="8"/>
  <c r="D389" i="8"/>
  <c r="A390" i="8"/>
  <c r="B390" i="8"/>
  <c r="D390" i="8"/>
  <c r="A391" i="8"/>
  <c r="B391" i="8"/>
  <c r="D391" i="8"/>
  <c r="A392" i="8"/>
  <c r="B392" i="8"/>
  <c r="D392" i="8"/>
  <c r="A393" i="8"/>
  <c r="B393" i="8"/>
  <c r="D393" i="8"/>
  <c r="A394" i="8"/>
  <c r="B394" i="8"/>
  <c r="D394" i="8"/>
  <c r="A395" i="8"/>
  <c r="B395" i="8"/>
  <c r="D395" i="8"/>
  <c r="A396" i="8"/>
  <c r="B396" i="8"/>
  <c r="D396" i="8"/>
  <c r="A397" i="8"/>
  <c r="B397" i="8"/>
  <c r="D397" i="8"/>
  <c r="A398" i="8"/>
  <c r="B398" i="8"/>
  <c r="D398" i="8"/>
  <c r="A399" i="8"/>
  <c r="B399" i="8"/>
  <c r="D399" i="8"/>
  <c r="A400" i="8"/>
  <c r="B400" i="8"/>
  <c r="D400" i="8"/>
  <c r="A401" i="8"/>
  <c r="B401" i="8"/>
  <c r="D401" i="8"/>
  <c r="A402" i="8"/>
  <c r="B402" i="8"/>
  <c r="D402" i="8"/>
  <c r="A403" i="8"/>
  <c r="B403" i="8"/>
  <c r="D403" i="8"/>
  <c r="A404" i="8"/>
  <c r="B404" i="8"/>
  <c r="D404" i="8"/>
  <c r="A405" i="8"/>
  <c r="B405" i="8"/>
  <c r="D405" i="8"/>
  <c r="A406" i="8"/>
  <c r="B406" i="8"/>
  <c r="D406" i="8"/>
  <c r="A407" i="8"/>
  <c r="B407" i="8"/>
  <c r="A408" i="8"/>
  <c r="B408" i="8"/>
  <c r="A409" i="8"/>
  <c r="B409" i="8"/>
  <c r="A410" i="8"/>
  <c r="B410" i="8"/>
  <c r="A411" i="8"/>
  <c r="B411" i="8"/>
  <c r="A412" i="8"/>
  <c r="B412" i="8"/>
  <c r="A413" i="8"/>
  <c r="B413" i="8"/>
  <c r="A414" i="8"/>
  <c r="B414" i="8"/>
  <c r="A415" i="8"/>
  <c r="B415" i="8"/>
  <c r="A416" i="8"/>
  <c r="B416" i="8"/>
  <c r="A417" i="8"/>
  <c r="B417" i="8"/>
  <c r="A418" i="8"/>
  <c r="B418" i="8"/>
  <c r="A419" i="8"/>
  <c r="B419" i="8"/>
  <c r="D419" i="8"/>
  <c r="A420" i="8"/>
  <c r="B420" i="8"/>
  <c r="D420" i="8"/>
  <c r="A421" i="8"/>
  <c r="B421" i="8"/>
  <c r="D421" i="8"/>
  <c r="A422" i="8"/>
  <c r="B422" i="8"/>
  <c r="D422" i="8"/>
  <c r="A423" i="8"/>
  <c r="B423" i="8"/>
  <c r="D423" i="8"/>
  <c r="A424" i="8"/>
  <c r="B424" i="8"/>
  <c r="D424" i="8"/>
  <c r="A425" i="8"/>
  <c r="B425" i="8"/>
  <c r="D425" i="8"/>
  <c r="A426" i="8"/>
  <c r="B426" i="8"/>
  <c r="D426" i="8"/>
  <c r="D334" i="8"/>
  <c r="B334" i="8"/>
  <c r="A334" i="8"/>
  <c r="I323" i="8"/>
  <c r="J323" i="8"/>
  <c r="K323" i="8" s="1"/>
  <c r="L323" i="8" s="1"/>
  <c r="I324" i="8"/>
  <c r="J324" i="8"/>
  <c r="K324" i="8" s="1"/>
  <c r="L324" i="8" s="1"/>
  <c r="I325" i="8"/>
  <c r="J325" i="8"/>
  <c r="K325" i="8" s="1"/>
  <c r="L325" i="8" s="1"/>
  <c r="I326" i="8"/>
  <c r="J326" i="8"/>
  <c r="K326" i="8" s="1"/>
  <c r="L326" i="8" s="1"/>
  <c r="I327" i="8"/>
  <c r="J327" i="8"/>
  <c r="K327" i="8" s="1"/>
  <c r="L327" i="8" s="1"/>
  <c r="I328" i="8"/>
  <c r="J328" i="8"/>
  <c r="K328" i="8" s="1"/>
  <c r="L328" i="8" s="1"/>
  <c r="I329" i="8"/>
  <c r="J329" i="8"/>
  <c r="K329" i="8" s="1"/>
  <c r="L329" i="8" s="1"/>
  <c r="I330" i="8"/>
  <c r="J330" i="8"/>
  <c r="K330" i="8" s="1"/>
  <c r="L330" i="8" s="1"/>
  <c r="D330" i="8"/>
  <c r="D458" i="8"/>
  <c r="D329" i="8"/>
  <c r="D457" i="8" s="1"/>
  <c r="D328" i="8"/>
  <c r="D456" i="8"/>
  <c r="D327" i="8"/>
  <c r="D455" i="8"/>
  <c r="D326" i="8"/>
  <c r="D454" i="8"/>
  <c r="D325" i="8"/>
  <c r="D453" i="8" s="1"/>
  <c r="D324" i="8"/>
  <c r="D452" i="8"/>
  <c r="D323" i="8"/>
  <c r="D451" i="8"/>
  <c r="O325" i="8"/>
  <c r="P325" i="8"/>
  <c r="Q325" i="8" s="1"/>
  <c r="D322" i="8"/>
  <c r="D450" i="8" s="1"/>
  <c r="D321" i="8"/>
  <c r="D449" i="8" s="1"/>
  <c r="D320" i="8"/>
  <c r="D448" i="8" s="1"/>
  <c r="D319" i="8"/>
  <c r="D447" i="8" s="1"/>
  <c r="D318" i="8"/>
  <c r="D446" i="8" s="1"/>
  <c r="D317" i="8"/>
  <c r="D445" i="8" s="1"/>
  <c r="D316" i="8"/>
  <c r="D444" i="8" s="1"/>
  <c r="D315" i="8"/>
  <c r="D443" i="8" s="1"/>
  <c r="D314" i="8"/>
  <c r="D442" i="8" s="1"/>
  <c r="D313" i="8"/>
  <c r="D441" i="8" s="1"/>
  <c r="D290" i="8"/>
  <c r="D418" i="8" s="1"/>
  <c r="D289" i="8"/>
  <c r="D417" i="8" s="1"/>
  <c r="D288" i="8"/>
  <c r="D416" i="8" s="1"/>
  <c r="D287" i="8"/>
  <c r="D415" i="8" s="1"/>
  <c r="D286" i="8"/>
  <c r="D414" i="8" s="1"/>
  <c r="D284" i="8"/>
  <c r="D412" i="8" s="1"/>
  <c r="D285" i="8"/>
  <c r="D413" i="8" s="1"/>
  <c r="D283" i="8"/>
  <c r="D411" i="8" s="1"/>
  <c r="D282" i="8"/>
  <c r="D410" i="8" s="1"/>
  <c r="D281" i="8"/>
  <c r="D409" i="8" s="1"/>
  <c r="D280" i="8"/>
  <c r="D408" i="8" s="1"/>
  <c r="D279" i="8"/>
  <c r="D407" i="8" s="1"/>
  <c r="H9" i="15"/>
  <c r="G421" i="14"/>
  <c r="G401" i="14"/>
  <c r="F401" i="14"/>
  <c r="Q240" i="14"/>
  <c r="P261" i="14"/>
  <c r="K240" i="14"/>
  <c r="H335" i="15"/>
  <c r="H421" i="15"/>
  <c r="H371" i="15"/>
  <c r="H388" i="15"/>
  <c r="H368" i="15"/>
  <c r="H381" i="15"/>
  <c r="H384" i="15"/>
  <c r="H359" i="15"/>
  <c r="H343" i="15"/>
  <c r="H372" i="15"/>
  <c r="H436" i="15"/>
  <c r="H363" i="15"/>
  <c r="H434" i="15"/>
  <c r="H390" i="15"/>
  <c r="H360" i="15"/>
  <c r="H437" i="15"/>
  <c r="H395" i="15"/>
  <c r="H396" i="15"/>
  <c r="H352" i="15"/>
  <c r="H332" i="15"/>
  <c r="H394" i="15"/>
  <c r="H392" i="15"/>
  <c r="H364" i="15"/>
  <c r="H426" i="15"/>
  <c r="H376" i="15"/>
  <c r="H348" i="15"/>
  <c r="H379" i="15"/>
  <c r="H373" i="15"/>
  <c r="H351" i="15"/>
  <c r="L6" i="14"/>
  <c r="F340" i="15"/>
  <c r="H387" i="15"/>
  <c r="H386" i="15"/>
  <c r="H382" i="15"/>
  <c r="H439" i="15"/>
  <c r="H399" i="15"/>
  <c r="H366" i="15"/>
  <c r="H358" i="15"/>
  <c r="H357" i="15"/>
  <c r="H354" i="15"/>
  <c r="H353" i="15"/>
  <c r="H350" i="15"/>
  <c r="H349" i="15"/>
  <c r="H346" i="15"/>
  <c r="H345" i="15"/>
  <c r="H342" i="15"/>
  <c r="H341" i="15"/>
  <c r="H337" i="15"/>
  <c r="H334" i="15"/>
  <c r="H329" i="15"/>
  <c r="H326" i="15"/>
  <c r="H325" i="15"/>
  <c r="H322" i="15"/>
  <c r="H378" i="15"/>
  <c r="H362" i="15"/>
  <c r="H317" i="15"/>
  <c r="H438" i="15"/>
  <c r="H374" i="15"/>
  <c r="H391" i="15"/>
  <c r="H370" i="15"/>
  <c r="H319" i="15"/>
  <c r="H398" i="15"/>
  <c r="H422" i="15"/>
  <c r="K8" i="15"/>
  <c r="J212" i="15"/>
  <c r="I11" i="15"/>
  <c r="J11" i="15" s="1"/>
  <c r="K11" i="15" s="1"/>
  <c r="L11" i="15" s="1"/>
  <c r="M11" i="15" s="1"/>
  <c r="N11" i="15" s="1"/>
  <c r="L14" i="15"/>
  <c r="M14" i="15" s="1"/>
  <c r="N14" i="15" s="1"/>
  <c r="K4" i="15"/>
  <c r="H430" i="15"/>
  <c r="H385" i="15"/>
  <c r="H355" i="15"/>
  <c r="H331" i="15"/>
  <c r="H316" i="15"/>
  <c r="H428" i="15"/>
  <c r="H344" i="15"/>
  <c r="H328" i="15"/>
  <c r="H433" i="15"/>
  <c r="H425" i="15"/>
  <c r="H380" i="15"/>
  <c r="H369" i="15"/>
  <c r="H320" i="15"/>
  <c r="H397" i="15"/>
  <c r="H365" i="15"/>
  <c r="H361" i="15"/>
  <c r="H435" i="15"/>
  <c r="H432" i="15"/>
  <c r="H440" i="15"/>
  <c r="H367" i="15"/>
  <c r="K6" i="15"/>
  <c r="F317" i="15"/>
  <c r="O212" i="15"/>
  <c r="K13" i="15"/>
  <c r="H356" i="15"/>
  <c r="H347" i="15"/>
  <c r="H323" i="15"/>
  <c r="H383" i="15"/>
  <c r="H427" i="15"/>
  <c r="H393" i="15"/>
  <c r="H423" i="15"/>
  <c r="H5" i="15"/>
  <c r="G317" i="15"/>
  <c r="H400" i="15"/>
  <c r="H377" i="15"/>
  <c r="H431" i="15"/>
  <c r="L172" i="14"/>
  <c r="L108" i="14" s="1"/>
  <c r="L112" i="14" s="1"/>
  <c r="J4" i="14"/>
  <c r="K11" i="14"/>
  <c r="L11" i="14" s="1"/>
  <c r="F421" i="14"/>
  <c r="K8" i="14"/>
  <c r="F316" i="14"/>
  <c r="L14" i="14"/>
  <c r="O252" i="8"/>
  <c r="P252" i="8" s="1"/>
  <c r="Q252" i="8" s="1"/>
  <c r="O253" i="8"/>
  <c r="P253" i="8" s="1"/>
  <c r="Q253" i="8" s="1"/>
  <c r="O254" i="8"/>
  <c r="P254" i="8" s="1"/>
  <c r="Q254" i="8" s="1"/>
  <c r="O256" i="8"/>
  <c r="P256" i="8"/>
  <c r="Q256" i="8" s="1"/>
  <c r="O257" i="8"/>
  <c r="P257" i="8" s="1"/>
  <c r="N249" i="8"/>
  <c r="O249" i="8"/>
  <c r="P249" i="8" s="1"/>
  <c r="Q249" i="8" s="1"/>
  <c r="N248" i="8"/>
  <c r="O248" i="8" s="1"/>
  <c r="P248" i="8" s="1"/>
  <c r="N247" i="8"/>
  <c r="O247" i="8" s="1"/>
  <c r="P247" i="8" s="1"/>
  <c r="M244" i="8"/>
  <c r="N244" i="8" s="1"/>
  <c r="O244" i="8" s="1"/>
  <c r="M243" i="8"/>
  <c r="N243" i="8"/>
  <c r="O243" i="8" s="1"/>
  <c r="M242" i="8"/>
  <c r="N242" i="8" s="1"/>
  <c r="O242" i="8" s="1"/>
  <c r="L239" i="8"/>
  <c r="M239" i="8"/>
  <c r="N239" i="8" s="1"/>
  <c r="O239" i="8"/>
  <c r="P239" i="8" s="1"/>
  <c r="Q239" i="8" s="1"/>
  <c r="L238" i="8"/>
  <c r="M238" i="8"/>
  <c r="N238" i="8" s="1"/>
  <c r="L237" i="8"/>
  <c r="M237" i="8" s="1"/>
  <c r="N237" i="8"/>
  <c r="Q237" i="8"/>
  <c r="K234" i="8"/>
  <c r="L234" i="8" s="1"/>
  <c r="M234" i="8" s="1"/>
  <c r="O234" i="8"/>
  <c r="P234" i="8"/>
  <c r="Q234" i="8" s="1"/>
  <c r="K233" i="8"/>
  <c r="L233" i="8" s="1"/>
  <c r="M233" i="8" s="1"/>
  <c r="P233" i="8"/>
  <c r="L232" i="8"/>
  <c r="M232" i="8" s="1"/>
  <c r="L255" i="8"/>
  <c r="L200" i="8" s="1"/>
  <c r="G309" i="8"/>
  <c r="H309" i="8"/>
  <c r="I309" i="8"/>
  <c r="J309" i="8"/>
  <c r="K309" i="8"/>
  <c r="L309" i="8"/>
  <c r="M309" i="8"/>
  <c r="N309" i="8"/>
  <c r="O309" i="8"/>
  <c r="P309" i="8"/>
  <c r="Q309" i="8"/>
  <c r="G310" i="8"/>
  <c r="H310" i="8"/>
  <c r="I310" i="8"/>
  <c r="J310" i="8"/>
  <c r="K310" i="8"/>
  <c r="L310" i="8"/>
  <c r="M310" i="8"/>
  <c r="N310" i="8"/>
  <c r="O310" i="8"/>
  <c r="P310" i="8"/>
  <c r="Q310" i="8"/>
  <c r="G302" i="8"/>
  <c r="H302" i="8"/>
  <c r="I302" i="8"/>
  <c r="J302" i="8"/>
  <c r="K302" i="8"/>
  <c r="L302" i="8"/>
  <c r="M302" i="8"/>
  <c r="N302" i="8"/>
  <c r="O302" i="8"/>
  <c r="P302" i="8"/>
  <c r="Q302" i="8"/>
  <c r="F309" i="8"/>
  <c r="F310" i="8"/>
  <c r="F302" i="8"/>
  <c r="A2" i="12"/>
  <c r="A1" i="12"/>
  <c r="I9" i="15"/>
  <c r="L240" i="14"/>
  <c r="Q261" i="14"/>
  <c r="Q232" i="8"/>
  <c r="L4" i="15"/>
  <c r="I388" i="15"/>
  <c r="I376" i="15"/>
  <c r="I371" i="15"/>
  <c r="I365" i="15"/>
  <c r="I361" i="15"/>
  <c r="I436" i="15"/>
  <c r="I368" i="15"/>
  <c r="I369" i="15"/>
  <c r="I427" i="15"/>
  <c r="I384" i="15"/>
  <c r="I364" i="15"/>
  <c r="I360" i="15"/>
  <c r="I358" i="15"/>
  <c r="I354" i="15"/>
  <c r="I350" i="15"/>
  <c r="I346" i="15"/>
  <c r="I342" i="15"/>
  <c r="I334" i="15"/>
  <c r="I326" i="15"/>
  <c r="I322" i="15"/>
  <c r="I375" i="15"/>
  <c r="I379" i="15"/>
  <c r="I373" i="15"/>
  <c r="I363" i="15"/>
  <c r="I347" i="15"/>
  <c r="I351" i="15"/>
  <c r="I331" i="15"/>
  <c r="I387" i="15"/>
  <c r="I343" i="15"/>
  <c r="I323" i="15"/>
  <c r="I396" i="15"/>
  <c r="I359" i="15"/>
  <c r="I355" i="15"/>
  <c r="I335" i="15"/>
  <c r="I430" i="15"/>
  <c r="I398" i="15"/>
  <c r="I392" i="15"/>
  <c r="I62" i="15" s="1"/>
  <c r="I391" i="15"/>
  <c r="I438" i="15"/>
  <c r="I316" i="15"/>
  <c r="I395" i="15"/>
  <c r="I317" i="15"/>
  <c r="I424" i="15"/>
  <c r="I439" i="15"/>
  <c r="I320" i="15"/>
  <c r="I325" i="15"/>
  <c r="I357" i="15"/>
  <c r="I340" i="15"/>
  <c r="I356" i="15"/>
  <c r="I374" i="15"/>
  <c r="I381" i="15"/>
  <c r="I5" i="15"/>
  <c r="I383" i="15"/>
  <c r="I382" i="15"/>
  <c r="I431" i="15"/>
  <c r="I400" i="15"/>
  <c r="I394" i="15"/>
  <c r="I393" i="15"/>
  <c r="I399" i="15"/>
  <c r="I426" i="15"/>
  <c r="I435" i="15"/>
  <c r="I349" i="15"/>
  <c r="I328" i="15"/>
  <c r="I344" i="15"/>
  <c r="I352" i="15"/>
  <c r="I362" i="15"/>
  <c r="I370" i="15"/>
  <c r="I422" i="15"/>
  <c r="I385" i="15"/>
  <c r="I421" i="15"/>
  <c r="I390" i="15"/>
  <c r="I437" i="15"/>
  <c r="I428" i="15"/>
  <c r="I329" i="15"/>
  <c r="I345" i="15"/>
  <c r="I377" i="15"/>
  <c r="I389" i="15"/>
  <c r="I423" i="15"/>
  <c r="I372" i="15"/>
  <c r="I434" i="15"/>
  <c r="I332" i="15"/>
  <c r="I348" i="15"/>
  <c r="I366" i="15"/>
  <c r="I386" i="15"/>
  <c r="I367" i="15"/>
  <c r="I440" i="15"/>
  <c r="I432" i="15"/>
  <c r="I319" i="15"/>
  <c r="I397" i="15"/>
  <c r="I380" i="15"/>
  <c r="I425" i="15"/>
  <c r="I433" i="15"/>
  <c r="I337" i="15"/>
  <c r="I353" i="15"/>
  <c r="L6" i="15"/>
  <c r="M6" i="15" s="1"/>
  <c r="P212" i="15"/>
  <c r="L13" i="15"/>
  <c r="K212" i="15"/>
  <c r="L8" i="15"/>
  <c r="M8" i="15" s="1"/>
  <c r="N8" i="15" s="1"/>
  <c r="L8" i="14"/>
  <c r="K4" i="14"/>
  <c r="M14" i="14"/>
  <c r="N14" i="14" s="1"/>
  <c r="Q233" i="8"/>
  <c r="Q238" i="8"/>
  <c r="Q244" i="8"/>
  <c r="Q257" i="8"/>
  <c r="F312" i="8"/>
  <c r="O312" i="8"/>
  <c r="K312" i="8"/>
  <c r="G312" i="8"/>
  <c r="P312" i="8"/>
  <c r="L312" i="8"/>
  <c r="H312" i="8"/>
  <c r="Q312" i="8"/>
  <c r="M312" i="8"/>
  <c r="I312" i="8"/>
  <c r="N312" i="8"/>
  <c r="J312" i="8"/>
  <c r="M187" i="8"/>
  <c r="P300" i="8"/>
  <c r="F300" i="8"/>
  <c r="Q300" i="8"/>
  <c r="M300" i="8"/>
  <c r="I300" i="8"/>
  <c r="N300" i="8"/>
  <c r="J300" i="8"/>
  <c r="L300" i="8"/>
  <c r="H300" i="8"/>
  <c r="O300" i="8"/>
  <c r="K300" i="8"/>
  <c r="G300" i="8"/>
  <c r="F307" i="8"/>
  <c r="F306" i="8"/>
  <c r="F305" i="8"/>
  <c r="F304" i="8"/>
  <c r="F303" i="8"/>
  <c r="F299" i="8"/>
  <c r="Q308" i="8"/>
  <c r="Q301" i="8"/>
  <c r="I308" i="8"/>
  <c r="I301" i="8"/>
  <c r="K304" i="8"/>
  <c r="K307" i="8"/>
  <c r="K200" i="8" s="1"/>
  <c r="K308" i="8"/>
  <c r="K306" i="8"/>
  <c r="K305" i="8"/>
  <c r="K303" i="8"/>
  <c r="K299" i="8"/>
  <c r="N308" i="8"/>
  <c r="N301" i="8"/>
  <c r="J308" i="8"/>
  <c r="J301" i="8"/>
  <c r="P306" i="8"/>
  <c r="P303" i="8"/>
  <c r="P299" i="8"/>
  <c r="P307" i="8"/>
  <c r="P305" i="8"/>
  <c r="P304" i="8"/>
  <c r="L304" i="8"/>
  <c r="L307" i="8"/>
  <c r="L308" i="8"/>
  <c r="L306" i="8"/>
  <c r="L305" i="8"/>
  <c r="L303" i="8"/>
  <c r="L299" i="8"/>
  <c r="H306" i="8"/>
  <c r="H305" i="8"/>
  <c r="H303" i="8"/>
  <c r="H299" i="8"/>
  <c r="H307" i="8"/>
  <c r="H304" i="8"/>
  <c r="F308" i="8"/>
  <c r="F301" i="8"/>
  <c r="O301" i="8"/>
  <c r="O308" i="8"/>
  <c r="K301" i="8"/>
  <c r="G301" i="8"/>
  <c r="G308" i="8"/>
  <c r="Q307" i="8"/>
  <c r="Q306" i="8"/>
  <c r="Q305" i="8"/>
  <c r="Q304" i="8"/>
  <c r="Q303" i="8"/>
  <c r="Q299" i="8"/>
  <c r="M307" i="8"/>
  <c r="M306" i="8"/>
  <c r="M305" i="8"/>
  <c r="M304" i="8"/>
  <c r="M303" i="8"/>
  <c r="M299" i="8"/>
  <c r="I307" i="8"/>
  <c r="I200" i="8" s="1"/>
  <c r="I306" i="8"/>
  <c r="I305" i="8"/>
  <c r="I304" i="8"/>
  <c r="I303" i="8"/>
  <c r="I299" i="8"/>
  <c r="M308" i="8"/>
  <c r="M301" i="8"/>
  <c r="O303" i="8"/>
  <c r="O299" i="8"/>
  <c r="O307" i="8"/>
  <c r="O306" i="8"/>
  <c r="O305" i="8"/>
  <c r="O304" i="8"/>
  <c r="G306" i="8"/>
  <c r="G305" i="8"/>
  <c r="G303" i="8"/>
  <c r="G299" i="8"/>
  <c r="G307" i="8"/>
  <c r="G304" i="8"/>
  <c r="P301" i="8"/>
  <c r="P308" i="8"/>
  <c r="L301" i="8"/>
  <c r="H301" i="8"/>
  <c r="H308" i="8"/>
  <c r="N307" i="8"/>
  <c r="N306" i="8"/>
  <c r="N305" i="8"/>
  <c r="N304" i="8"/>
  <c r="N303" i="8"/>
  <c r="N299" i="8"/>
  <c r="J307" i="8"/>
  <c r="J306" i="8"/>
  <c r="J305" i="8"/>
  <c r="J304" i="8"/>
  <c r="J303" i="8"/>
  <c r="J299" i="8"/>
  <c r="F292" i="8"/>
  <c r="F296" i="8"/>
  <c r="O298" i="8"/>
  <c r="O294" i="8"/>
  <c r="K298" i="8"/>
  <c r="K294" i="8"/>
  <c r="G298" i="8"/>
  <c r="G294" i="8"/>
  <c r="N297" i="8"/>
  <c r="N293" i="8"/>
  <c r="J297" i="8"/>
  <c r="J293" i="8"/>
  <c r="Q296" i="8"/>
  <c r="Q292" i="8"/>
  <c r="M292" i="8"/>
  <c r="M296" i="8"/>
  <c r="I292" i="8"/>
  <c r="I296" i="8"/>
  <c r="P291" i="8"/>
  <c r="P295" i="8"/>
  <c r="L295" i="8"/>
  <c r="L291" i="8"/>
  <c r="H291" i="8"/>
  <c r="H295" i="8"/>
  <c r="F297" i="8"/>
  <c r="F293" i="8"/>
  <c r="P298" i="8"/>
  <c r="P294" i="8"/>
  <c r="L298" i="8"/>
  <c r="L294" i="8"/>
  <c r="H298" i="8"/>
  <c r="H294" i="8"/>
  <c r="O297" i="8"/>
  <c r="O293" i="8"/>
  <c r="K293" i="8"/>
  <c r="K297" i="8"/>
  <c r="G297" i="8"/>
  <c r="G293" i="8"/>
  <c r="N292" i="8"/>
  <c r="N296" i="8"/>
  <c r="J292" i="8"/>
  <c r="J296" i="8"/>
  <c r="Q295" i="8"/>
  <c r="Q291" i="8"/>
  <c r="M295" i="8"/>
  <c r="M291" i="8"/>
  <c r="I295" i="8"/>
  <c r="I291" i="8"/>
  <c r="F295" i="8"/>
  <c r="F291" i="8"/>
  <c r="N298" i="8"/>
  <c r="N294" i="8"/>
  <c r="J298" i="8"/>
  <c r="J294" i="8"/>
  <c r="Q297" i="8"/>
  <c r="Q293" i="8"/>
  <c r="M297" i="8"/>
  <c r="M293" i="8"/>
  <c r="I297" i="8"/>
  <c r="I293" i="8"/>
  <c r="P296" i="8"/>
  <c r="P292" i="8"/>
  <c r="L296" i="8"/>
  <c r="L292" i="8"/>
  <c r="H296" i="8"/>
  <c r="H292" i="8"/>
  <c r="O291" i="8"/>
  <c r="O295" i="8"/>
  <c r="K295" i="8"/>
  <c r="K291" i="8"/>
  <c r="G291" i="8"/>
  <c r="G295" i="8"/>
  <c r="F298" i="8"/>
  <c r="F294" i="8"/>
  <c r="Q298" i="8"/>
  <c r="Q294" i="8"/>
  <c r="M298" i="8"/>
  <c r="M294" i="8"/>
  <c r="I298" i="8"/>
  <c r="I294" i="8"/>
  <c r="P297" i="8"/>
  <c r="P293" i="8"/>
  <c r="L293" i="8"/>
  <c r="L297" i="8"/>
  <c r="H297" i="8"/>
  <c r="H293" i="8"/>
  <c r="O296" i="8"/>
  <c r="O292" i="8"/>
  <c r="K296" i="8"/>
  <c r="K292" i="8"/>
  <c r="G296" i="8"/>
  <c r="G292" i="8"/>
  <c r="N295" i="8"/>
  <c r="N291" i="8"/>
  <c r="J295" i="8"/>
  <c r="J291" i="8"/>
  <c r="Q227" i="8"/>
  <c r="M227" i="8"/>
  <c r="I227" i="8"/>
  <c r="F229" i="8"/>
  <c r="F228" i="8"/>
  <c r="O229" i="8"/>
  <c r="O228" i="8"/>
  <c r="K229" i="8"/>
  <c r="K228" i="8"/>
  <c r="G229" i="8"/>
  <c r="G228" i="8"/>
  <c r="P229" i="8"/>
  <c r="P228" i="8"/>
  <c r="L228" i="8"/>
  <c r="L229" i="8"/>
  <c r="H229" i="8"/>
  <c r="H228" i="8"/>
  <c r="P219" i="8"/>
  <c r="P227" i="8"/>
  <c r="L219" i="8"/>
  <c r="L227" i="8"/>
  <c r="H219" i="8"/>
  <c r="H227" i="8"/>
  <c r="F227" i="8"/>
  <c r="O227" i="8"/>
  <c r="K227" i="8"/>
  <c r="G227" i="8"/>
  <c r="Q229" i="8"/>
  <c r="Q228" i="8"/>
  <c r="M229" i="8"/>
  <c r="M228" i="8"/>
  <c r="I229" i="8"/>
  <c r="I228" i="8"/>
  <c r="N229" i="8"/>
  <c r="N228" i="8"/>
  <c r="J229" i="8"/>
  <c r="J228" i="8"/>
  <c r="N227" i="8"/>
  <c r="J227" i="8"/>
  <c r="L226" i="8"/>
  <c r="L220" i="8"/>
  <c r="F217" i="8"/>
  <c r="F226" i="8"/>
  <c r="F220" i="8"/>
  <c r="F216" i="8"/>
  <c r="F219" i="8"/>
  <c r="O217" i="8"/>
  <c r="O226" i="8"/>
  <c r="O220" i="8"/>
  <c r="K217" i="8"/>
  <c r="K226" i="8"/>
  <c r="K220" i="8"/>
  <c r="G217" i="8"/>
  <c r="G226" i="8"/>
  <c r="G220" i="8"/>
  <c r="O216" i="8"/>
  <c r="O219" i="8"/>
  <c r="K216" i="8"/>
  <c r="K219" i="8"/>
  <c r="G216" i="8"/>
  <c r="G219" i="8"/>
  <c r="P226" i="8"/>
  <c r="P220" i="8"/>
  <c r="H226" i="8"/>
  <c r="H220" i="8"/>
  <c r="Q226" i="8"/>
  <c r="Q220" i="8"/>
  <c r="M226" i="8"/>
  <c r="M220" i="8"/>
  <c r="I226" i="8"/>
  <c r="I220" i="8"/>
  <c r="N226" i="8"/>
  <c r="N220" i="8"/>
  <c r="J226" i="8"/>
  <c r="J220" i="8"/>
  <c r="Q219" i="8"/>
  <c r="M219" i="8"/>
  <c r="I219" i="8"/>
  <c r="N219" i="8"/>
  <c r="J219" i="8"/>
  <c r="P217" i="8"/>
  <c r="L217" i="8"/>
  <c r="H217" i="8"/>
  <c r="P216" i="8"/>
  <c r="L216" i="8"/>
  <c r="H216" i="8"/>
  <c r="Q217" i="8"/>
  <c r="M217" i="8"/>
  <c r="I217" i="8"/>
  <c r="Q216" i="8"/>
  <c r="M216" i="8"/>
  <c r="I216" i="8"/>
  <c r="N217" i="8"/>
  <c r="J217" i="8"/>
  <c r="N216" i="8"/>
  <c r="J216" i="8"/>
  <c r="N214" i="8"/>
  <c r="N211" i="8"/>
  <c r="J214" i="8"/>
  <c r="J211" i="8"/>
  <c r="N213" i="8"/>
  <c r="N210" i="8"/>
  <c r="J213" i="8"/>
  <c r="J210" i="8"/>
  <c r="F214" i="8"/>
  <c r="F211" i="8"/>
  <c r="F213" i="8"/>
  <c r="F210" i="8"/>
  <c r="O211" i="8"/>
  <c r="O214" i="8"/>
  <c r="K214" i="8"/>
  <c r="K211" i="8"/>
  <c r="G211" i="8"/>
  <c r="G214" i="8"/>
  <c r="O213" i="8"/>
  <c r="O210" i="8"/>
  <c r="K210" i="8"/>
  <c r="K213" i="8"/>
  <c r="G213" i="8"/>
  <c r="G210" i="8"/>
  <c r="P214" i="8"/>
  <c r="P211" i="8"/>
  <c r="L214" i="8"/>
  <c r="L211" i="8"/>
  <c r="H214" i="8"/>
  <c r="H211" i="8"/>
  <c r="P213" i="8"/>
  <c r="P210" i="8"/>
  <c r="L213" i="8"/>
  <c r="L210" i="8"/>
  <c r="H210" i="8"/>
  <c r="H213" i="8"/>
  <c r="Q214" i="8"/>
  <c r="Q211" i="8"/>
  <c r="M214" i="8"/>
  <c r="M211" i="8"/>
  <c r="I214" i="8"/>
  <c r="I211" i="8"/>
  <c r="Q213" i="8"/>
  <c r="Q210" i="8"/>
  <c r="M213" i="8"/>
  <c r="M210" i="8"/>
  <c r="I213" i="8"/>
  <c r="I210" i="8"/>
  <c r="Q191" i="8"/>
  <c r="M191" i="8"/>
  <c r="I191" i="8"/>
  <c r="N191" i="8"/>
  <c r="J191" i="8"/>
  <c r="F191" i="8"/>
  <c r="P191" i="8"/>
  <c r="L191" i="8"/>
  <c r="H191" i="8"/>
  <c r="O191" i="8"/>
  <c r="K191" i="8"/>
  <c r="G191" i="8"/>
  <c r="O208" i="8"/>
  <c r="Q223" i="8"/>
  <c r="M223" i="8"/>
  <c r="P207" i="8"/>
  <c r="N222" i="8"/>
  <c r="Q222" i="8"/>
  <c r="M222" i="8"/>
  <c r="P223" i="8"/>
  <c r="P208" i="8"/>
  <c r="N208" i="8"/>
  <c r="O222" i="8"/>
  <c r="N207" i="8"/>
  <c r="O207" i="8"/>
  <c r="N223" i="8"/>
  <c r="Q207" i="8"/>
  <c r="M207" i="8"/>
  <c r="O223" i="8"/>
  <c r="P222" i="8"/>
  <c r="Q208" i="8"/>
  <c r="M208" i="8"/>
  <c r="I223" i="8"/>
  <c r="L223" i="8"/>
  <c r="H223" i="8"/>
  <c r="I222" i="8"/>
  <c r="L222" i="8"/>
  <c r="H222" i="8"/>
  <c r="F223" i="8"/>
  <c r="F222" i="8"/>
  <c r="K223" i="8"/>
  <c r="G223" i="8"/>
  <c r="K222" i="8"/>
  <c r="G222" i="8"/>
  <c r="J208" i="8"/>
  <c r="J207" i="8"/>
  <c r="J222" i="8"/>
  <c r="J223" i="8"/>
  <c r="I208" i="8"/>
  <c r="L208" i="8"/>
  <c r="H208" i="8"/>
  <c r="I207" i="8"/>
  <c r="L207" i="8"/>
  <c r="H207" i="8"/>
  <c r="F208" i="8"/>
  <c r="F207" i="8"/>
  <c r="K208" i="8"/>
  <c r="G208" i="8"/>
  <c r="K207" i="8"/>
  <c r="G207" i="8"/>
  <c r="J9" i="15"/>
  <c r="M240" i="14"/>
  <c r="M4" i="15"/>
  <c r="M13" i="15"/>
  <c r="N13" i="15" s="1"/>
  <c r="O13" i="15" s="1"/>
  <c r="P13" i="15" s="1"/>
  <c r="L212" i="15"/>
  <c r="M212" i="15" s="1"/>
  <c r="Q212" i="15"/>
  <c r="J422" i="15"/>
  <c r="J386" i="15"/>
  <c r="J382" i="15"/>
  <c r="J357" i="15"/>
  <c r="J353" i="15"/>
  <c r="J349" i="15"/>
  <c r="J345" i="15"/>
  <c r="J337" i="15"/>
  <c r="J329" i="15"/>
  <c r="J325" i="15"/>
  <c r="J385" i="15"/>
  <c r="J433" i="15"/>
  <c r="J421" i="15"/>
  <c r="J381" i="15"/>
  <c r="J362" i="15"/>
  <c r="J356" i="15"/>
  <c r="J352" i="15"/>
  <c r="J348" i="15"/>
  <c r="J344" i="15"/>
  <c r="J340" i="15"/>
  <c r="J332" i="15"/>
  <c r="J328" i="15"/>
  <c r="J317" i="15"/>
  <c r="J384" i="15"/>
  <c r="J374" i="15"/>
  <c r="J370" i="15"/>
  <c r="J365" i="15"/>
  <c r="J364" i="15"/>
  <c r="J361" i="15"/>
  <c r="J360" i="15"/>
  <c r="J425" i="15"/>
  <c r="J380" i="15"/>
  <c r="J376" i="15"/>
  <c r="J366" i="15"/>
  <c r="J369" i="15"/>
  <c r="J430" i="15"/>
  <c r="J363" i="15"/>
  <c r="J389" i="15"/>
  <c r="J398" i="15"/>
  <c r="J436" i="15"/>
  <c r="J368" i="15"/>
  <c r="J379" i="15"/>
  <c r="J391" i="15"/>
  <c r="J331" i="15"/>
  <c r="J347" i="15"/>
  <c r="J396" i="15"/>
  <c r="J438" i="15"/>
  <c r="J371" i="15"/>
  <c r="J390" i="15"/>
  <c r="J320" i="15"/>
  <c r="J429" i="15"/>
  <c r="J322" i="15"/>
  <c r="J354" i="15"/>
  <c r="J395" i="15"/>
  <c r="J434" i="15"/>
  <c r="J431" i="15"/>
  <c r="J400" i="15"/>
  <c r="J388" i="15"/>
  <c r="J394" i="15"/>
  <c r="J432" i="15"/>
  <c r="J335" i="15"/>
  <c r="J351" i="15"/>
  <c r="J427" i="15"/>
  <c r="J428" i="15"/>
  <c r="J326" i="15"/>
  <c r="J334" i="15"/>
  <c r="J342" i="15"/>
  <c r="J350" i="15"/>
  <c r="J399" i="15"/>
  <c r="J426" i="15"/>
  <c r="J437" i="15"/>
  <c r="J359" i="15"/>
  <c r="J316" i="15"/>
  <c r="J375" i="15"/>
  <c r="J423" i="15"/>
  <c r="J392" i="15"/>
  <c r="J343" i="15"/>
  <c r="J346" i="15"/>
  <c r="J383" i="15"/>
  <c r="J439" i="15"/>
  <c r="J397" i="15"/>
  <c r="J393" i="15"/>
  <c r="J367" i="15"/>
  <c r="J377" i="15"/>
  <c r="J440" i="15"/>
  <c r="J424" i="15"/>
  <c r="J65" i="15" s="1"/>
  <c r="J42" i="15" s="1"/>
  <c r="J373" i="15"/>
  <c r="J372" i="15"/>
  <c r="J323" i="15"/>
  <c r="J355" i="15"/>
  <c r="J435" i="15"/>
  <c r="J319" i="15"/>
  <c r="J387" i="15"/>
  <c r="J5" i="15"/>
  <c r="K326" i="15" s="1"/>
  <c r="M11" i="14"/>
  <c r="N11" i="14" s="1"/>
  <c r="L4" i="14"/>
  <c r="K9" i="15"/>
  <c r="L9" i="15" s="1"/>
  <c r="O14" i="15"/>
  <c r="K337" i="15"/>
  <c r="K428" i="15"/>
  <c r="J62" i="15"/>
  <c r="N4" i="15"/>
  <c r="O4" i="15" s="1"/>
  <c r="L144" i="14"/>
  <c r="O14" i="14"/>
  <c r="P14" i="14" s="1"/>
  <c r="Q14" i="14" s="1"/>
  <c r="Q18" i="14" s="1"/>
  <c r="M13" i="14"/>
  <c r="O8" i="15"/>
  <c r="P14" i="15"/>
  <c r="Q14" i="15" s="1"/>
  <c r="N13" i="14"/>
  <c r="O13" i="14" s="1"/>
  <c r="O11" i="14"/>
  <c r="P11" i="14" s="1"/>
  <c r="M9" i="15"/>
  <c r="P4" i="15"/>
  <c r="Q4" i="15" s="1"/>
  <c r="P8" i="15"/>
  <c r="Q8" i="15" s="1"/>
  <c r="N9" i="15"/>
  <c r="Q13" i="15"/>
  <c r="O11" i="15"/>
  <c r="P13" i="14"/>
  <c r="Q13" i="14" s="1"/>
  <c r="O9" i="15"/>
  <c r="P103" i="14"/>
  <c r="P11" i="15"/>
  <c r="P135" i="14"/>
  <c r="P115" i="14"/>
  <c r="P113" i="14"/>
  <c r="P123" i="14" s="1"/>
  <c r="Q96" i="14"/>
  <c r="Q105" i="14" s="1"/>
  <c r="Q93" i="14"/>
  <c r="Q107" i="14"/>
  <c r="Q122" i="14"/>
  <c r="Q11" i="15"/>
  <c r="J19" i="5"/>
  <c r="J18" i="5"/>
  <c r="J17" i="5"/>
  <c r="J16" i="5"/>
  <c r="K16" i="5" s="1"/>
  <c r="J15" i="5"/>
  <c r="J14" i="5"/>
  <c r="J13" i="5"/>
  <c r="J12" i="5"/>
  <c r="J11" i="5"/>
  <c r="J10" i="5"/>
  <c r="J9" i="5"/>
  <c r="J8" i="5"/>
  <c r="K8" i="5" s="1"/>
  <c r="J7" i="5"/>
  <c r="F37" i="4"/>
  <c r="G14" i="8"/>
  <c r="G13" i="8"/>
  <c r="H13" i="8" s="1"/>
  <c r="I13" i="8" s="1"/>
  <c r="J13" i="8" s="1"/>
  <c r="H8" i="8"/>
  <c r="I8" i="8"/>
  <c r="H6" i="8"/>
  <c r="K225" i="8"/>
  <c r="L225" i="8" s="1"/>
  <c r="M225" i="8" s="1"/>
  <c r="N225" i="8" s="1"/>
  <c r="O225" i="8" s="1"/>
  <c r="P225" i="8" s="1"/>
  <c r="Q225" i="8" s="1"/>
  <c r="I225" i="8"/>
  <c r="I280" i="8"/>
  <c r="I282" i="8"/>
  <c r="J282" i="8" s="1"/>
  <c r="I281" i="8"/>
  <c r="H4" i="8"/>
  <c r="H14" i="8"/>
  <c r="I14" i="8" s="1"/>
  <c r="J14" i="8" s="1"/>
  <c r="K14" i="8" s="1"/>
  <c r="L14" i="8" s="1"/>
  <c r="M14" i="8" s="1"/>
  <c r="N14" i="8" s="1"/>
  <c r="O14" i="8" s="1"/>
  <c r="P14" i="8" s="1"/>
  <c r="Q14" i="8" s="1"/>
  <c r="G12" i="8"/>
  <c r="G5" i="8"/>
  <c r="H405" i="8" s="1"/>
  <c r="F352" i="8"/>
  <c r="F353" i="8"/>
  <c r="F410" i="8"/>
  <c r="F415" i="8"/>
  <c r="F414" i="8"/>
  <c r="F411" i="8"/>
  <c r="F445" i="8"/>
  <c r="F444" i="8"/>
  <c r="F443" i="8"/>
  <c r="F457" i="8"/>
  <c r="F453" i="8"/>
  <c r="F395" i="8"/>
  <c r="F383" i="8"/>
  <c r="F442" i="8"/>
  <c r="F450" i="8"/>
  <c r="F400" i="8"/>
  <c r="F392" i="8"/>
  <c r="F384" i="8"/>
  <c r="F441" i="8"/>
  <c r="F449" i="8"/>
  <c r="F448" i="8"/>
  <c r="F418" i="8"/>
  <c r="F407" i="8"/>
  <c r="F399" i="8"/>
  <c r="F408" i="8"/>
  <c r="F417" i="8"/>
  <c r="F402" i="8"/>
  <c r="F394" i="8"/>
  <c r="F386" i="8"/>
  <c r="F454" i="8"/>
  <c r="F416" i="8"/>
  <c r="F456" i="8"/>
  <c r="F405" i="8"/>
  <c r="F397" i="8"/>
  <c r="F389" i="8"/>
  <c r="F447" i="8"/>
  <c r="F409" i="8"/>
  <c r="F391" i="8"/>
  <c r="F446" i="8"/>
  <c r="F451" i="8"/>
  <c r="F455" i="8"/>
  <c r="F452" i="8"/>
  <c r="F393" i="8"/>
  <c r="F458" i="8"/>
  <c r="F403" i="8"/>
  <c r="F406" i="8"/>
  <c r="F396" i="8"/>
  <c r="F387" i="8"/>
  <c r="F398" i="8"/>
  <c r="F412" i="8"/>
  <c r="F401" i="8"/>
  <c r="F385" i="8"/>
  <c r="F413" i="8"/>
  <c r="F390" i="8"/>
  <c r="F404" i="8"/>
  <c r="F388" i="8"/>
  <c r="F437" i="8"/>
  <c r="F438" i="8"/>
  <c r="F430" i="8"/>
  <c r="F350" i="8"/>
  <c r="F426" i="8"/>
  <c r="F440" i="8"/>
  <c r="F421" i="8"/>
  <c r="F355" i="8"/>
  <c r="F432" i="8"/>
  <c r="F431" i="8"/>
  <c r="F336" i="8"/>
  <c r="F429" i="8"/>
  <c r="F422" i="8"/>
  <c r="F427" i="8"/>
  <c r="F344" i="8"/>
  <c r="F347" i="8"/>
  <c r="F423" i="8"/>
  <c r="F435" i="8"/>
  <c r="F338" i="8"/>
  <c r="F335" i="8"/>
  <c r="F339" i="8"/>
  <c r="F356" i="8"/>
  <c r="F342" i="8"/>
  <c r="F341" i="8"/>
  <c r="F354" i="8"/>
  <c r="F425" i="8"/>
  <c r="F348" i="8"/>
  <c r="F419" i="8"/>
  <c r="F434" i="8"/>
  <c r="F351" i="8"/>
  <c r="F345" i="8"/>
  <c r="F357" i="8"/>
  <c r="F420" i="8"/>
  <c r="F436" i="8"/>
  <c r="F424" i="8"/>
  <c r="F428" i="8"/>
  <c r="F433" i="8"/>
  <c r="E16" i="8"/>
  <c r="F39" i="8" s="1"/>
  <c r="G11" i="8"/>
  <c r="H11" i="8" s="1"/>
  <c r="I11" i="8" s="1"/>
  <c r="J11" i="8" s="1"/>
  <c r="K11" i="8" s="1"/>
  <c r="G7" i="8"/>
  <c r="G9" i="8"/>
  <c r="I6" i="8"/>
  <c r="J6" i="8" s="1"/>
  <c r="J8" i="8"/>
  <c r="L280" i="8"/>
  <c r="M280" i="8" s="1"/>
  <c r="N280" i="8" s="1"/>
  <c r="O280" i="8" s="1"/>
  <c r="P280" i="8" s="1"/>
  <c r="Q280" i="8" s="1"/>
  <c r="N282" i="8"/>
  <c r="O282" i="8" s="1"/>
  <c r="K282" i="8"/>
  <c r="H9" i="8"/>
  <c r="I9" i="8" s="1"/>
  <c r="I87" i="8" s="1"/>
  <c r="H403" i="8"/>
  <c r="H384" i="8"/>
  <c r="H404" i="8"/>
  <c r="H450" i="8"/>
  <c r="H391" i="8"/>
  <c r="H395" i="8"/>
  <c r="H413" i="8"/>
  <c r="H441" i="8"/>
  <c r="H386" i="8"/>
  <c r="H455" i="8"/>
  <c r="H406" i="8"/>
  <c r="H443" i="8"/>
  <c r="H457" i="8"/>
  <c r="H418" i="8"/>
  <c r="H410" i="8"/>
  <c r="H415" i="8"/>
  <c r="H411" i="8"/>
  <c r="H444" i="8"/>
  <c r="H438" i="8"/>
  <c r="H437" i="8"/>
  <c r="H440" i="8"/>
  <c r="H434" i="8"/>
  <c r="H339" i="8"/>
  <c r="H344" i="8"/>
  <c r="H354" i="8"/>
  <c r="H425" i="8"/>
  <c r="H335" i="8"/>
  <c r="H421" i="8"/>
  <c r="H338" i="8"/>
  <c r="H355" i="8"/>
  <c r="H419" i="8"/>
  <c r="H429" i="8"/>
  <c r="H12" i="8"/>
  <c r="I12" i="8" s="1"/>
  <c r="J12" i="8" s="1"/>
  <c r="K12" i="8" s="1"/>
  <c r="L12" i="8" s="1"/>
  <c r="M12" i="8" s="1"/>
  <c r="G353" i="8"/>
  <c r="G352" i="8"/>
  <c r="G418" i="8"/>
  <c r="G407" i="8"/>
  <c r="G399" i="8"/>
  <c r="G408" i="8"/>
  <c r="G417" i="8"/>
  <c r="G402" i="8"/>
  <c r="G394" i="8"/>
  <c r="G386" i="8"/>
  <c r="G457" i="8"/>
  <c r="G392" i="8"/>
  <c r="G454" i="8"/>
  <c r="G453" i="8"/>
  <c r="G416" i="8"/>
  <c r="G456" i="8"/>
  <c r="G388" i="8"/>
  <c r="G397" i="8"/>
  <c r="G445" i="8"/>
  <c r="G444" i="8"/>
  <c r="G443" i="8"/>
  <c r="G404" i="8"/>
  <c r="G409" i="8"/>
  <c r="G391" i="8"/>
  <c r="G442" i="8"/>
  <c r="G450" i="8"/>
  <c r="G396" i="8"/>
  <c r="G401" i="8"/>
  <c r="G385" i="8"/>
  <c r="G441" i="8"/>
  <c r="G449" i="8"/>
  <c r="G448" i="8"/>
  <c r="G458" i="8"/>
  <c r="G403" i="8"/>
  <c r="G387" i="8"/>
  <c r="G452" i="8"/>
  <c r="G413" i="8"/>
  <c r="G406" i="8"/>
  <c r="G398" i="8"/>
  <c r="G390" i="8"/>
  <c r="G412" i="8"/>
  <c r="G455" i="8"/>
  <c r="G415" i="8"/>
  <c r="G384" i="8"/>
  <c r="G389" i="8"/>
  <c r="G414" i="8"/>
  <c r="G411" i="8"/>
  <c r="G395" i="8"/>
  <c r="G446" i="8"/>
  <c r="G400" i="8"/>
  <c r="G393" i="8"/>
  <c r="G447" i="8"/>
  <c r="G383" i="8"/>
  <c r="G451" i="8"/>
  <c r="G405" i="8"/>
  <c r="G410" i="8"/>
  <c r="G438" i="8"/>
  <c r="G430" i="8"/>
  <c r="G437" i="8"/>
  <c r="G428" i="8"/>
  <c r="G348" i="8"/>
  <c r="G434" i="8"/>
  <c r="G338" i="8"/>
  <c r="G435" i="8"/>
  <c r="G429" i="8"/>
  <c r="G422" i="8"/>
  <c r="G355" i="8"/>
  <c r="G336" i="8"/>
  <c r="G436" i="8"/>
  <c r="G423" i="8"/>
  <c r="G341" i="8"/>
  <c r="G356" i="8"/>
  <c r="G419" i="8"/>
  <c r="G433" i="8"/>
  <c r="G420" i="8"/>
  <c r="G440" i="8"/>
  <c r="G350" i="8"/>
  <c r="G345" i="8"/>
  <c r="G431" i="8"/>
  <c r="G354" i="8"/>
  <c r="G344" i="8"/>
  <c r="G357" i="8"/>
  <c r="G432" i="8"/>
  <c r="G335" i="8"/>
  <c r="G342" i="8"/>
  <c r="G425" i="8"/>
  <c r="G427" i="8"/>
  <c r="G421" i="8"/>
  <c r="G351" i="8"/>
  <c r="G339" i="8"/>
  <c r="G347" i="8"/>
  <c r="G424" i="8"/>
  <c r="G426" i="8"/>
  <c r="P282" i="8"/>
  <c r="N281" i="8"/>
  <c r="O281" i="8" s="1"/>
  <c r="K6" i="8"/>
  <c r="Q282" i="8"/>
  <c r="P281" i="8"/>
  <c r="Q281" i="8" s="1"/>
  <c r="I319" i="8"/>
  <c r="I322" i="8"/>
  <c r="I224" i="8"/>
  <c r="J224" i="8" s="1"/>
  <c r="K224" i="8" s="1"/>
  <c r="L224" i="8" s="1"/>
  <c r="M224" i="8" s="1"/>
  <c r="N224" i="8" s="1"/>
  <c r="O224" i="8" s="1"/>
  <c r="P224" i="8" s="1"/>
  <c r="Q224" i="8" s="1"/>
  <c r="I318" i="8"/>
  <c r="I320" i="8"/>
  <c r="J320" i="8" s="1"/>
  <c r="K320" i="8" s="1"/>
  <c r="I317" i="8"/>
  <c r="I316" i="8"/>
  <c r="I321" i="8"/>
  <c r="K13" i="8"/>
  <c r="L13" i="8" s="1"/>
  <c r="M13" i="8" s="1"/>
  <c r="L6" i="8"/>
  <c r="N12" i="8"/>
  <c r="O12" i="8" s="1"/>
  <c r="P12" i="8" s="1"/>
  <c r="Q12" i="8" s="1"/>
  <c r="J319" i="8"/>
  <c r="J318" i="8"/>
  <c r="J315" i="8"/>
  <c r="K315" i="8" s="1"/>
  <c r="L315" i="8" s="1"/>
  <c r="M315" i="8" s="1"/>
  <c r="N315" i="8" s="1"/>
  <c r="O315" i="8" s="1"/>
  <c r="J322" i="8"/>
  <c r="K322" i="8" s="1"/>
  <c r="L322" i="8" s="1"/>
  <c r="J314" i="8"/>
  <c r="J313" i="8"/>
  <c r="J321" i="8"/>
  <c r="J279" i="8"/>
  <c r="K279" i="8" s="1"/>
  <c r="M6" i="8"/>
  <c r="K314" i="8"/>
  <c r="K317" i="8"/>
  <c r="K321" i="8"/>
  <c r="K313" i="8"/>
  <c r="L313" i="8" s="1"/>
  <c r="M313" i="8" s="1"/>
  <c r="N313" i="8" s="1"/>
  <c r="O313" i="8" s="1"/>
  <c r="P313" i="8" s="1"/>
  <c r="Q313" i="8" s="1"/>
  <c r="K316" i="8"/>
  <c r="L316" i="8" s="1"/>
  <c r="M316" i="8" s="1"/>
  <c r="N316" i="8" s="1"/>
  <c r="O316" i="8" s="1"/>
  <c r="P316" i="8" s="1"/>
  <c r="Q316" i="8" s="1"/>
  <c r="L11" i="8"/>
  <c r="M11" i="8" s="1"/>
  <c r="N11" i="8" s="1"/>
  <c r="O11" i="8" s="1"/>
  <c r="P11" i="8" s="1"/>
  <c r="Q11" i="8" s="1"/>
  <c r="L319" i="8"/>
  <c r="M319" i="8" s="1"/>
  <c r="N319" i="8" s="1"/>
  <c r="O319" i="8" s="1"/>
  <c r="P319" i="8" s="1"/>
  <c r="Q319" i="8" s="1"/>
  <c r="L314" i="8"/>
  <c r="M314" i="8" s="1"/>
  <c r="L318" i="8"/>
  <c r="L317" i="8"/>
  <c r="M317" i="8" s="1"/>
  <c r="L279" i="8"/>
  <c r="N13" i="8"/>
  <c r="M318" i="8"/>
  <c r="N318" i="8" s="1"/>
  <c r="M279" i="8"/>
  <c r="N279" i="8" s="1"/>
  <c r="M321" i="8"/>
  <c r="N321" i="8" s="1"/>
  <c r="O321" i="8" s="1"/>
  <c r="M320" i="8"/>
  <c r="O13" i="8"/>
  <c r="P13" i="8" s="1"/>
  <c r="Q13" i="8" s="1"/>
  <c r="N314" i="8"/>
  <c r="O314" i="8" s="1"/>
  <c r="P314" i="8" s="1"/>
  <c r="Q314" i="8" s="1"/>
  <c r="N320" i="8"/>
  <c r="O320" i="8" s="1"/>
  <c r="P320" i="8" s="1"/>
  <c r="Q320" i="8" s="1"/>
  <c r="N317" i="8"/>
  <c r="O318" i="8"/>
  <c r="P318" i="8" s="1"/>
  <c r="Q318" i="8" s="1"/>
  <c r="O279" i="8"/>
  <c r="P279" i="8" s="1"/>
  <c r="Q279" i="8" s="1"/>
  <c r="O317" i="8"/>
  <c r="P321" i="8"/>
  <c r="Q321" i="8" s="1"/>
  <c r="P317" i="8"/>
  <c r="Q317" i="8" s="1"/>
  <c r="P315" i="8"/>
  <c r="Q315" i="8" s="1"/>
  <c r="D20" i="5"/>
  <c r="E19" i="5"/>
  <c r="E18" i="5"/>
  <c r="E17" i="5"/>
  <c r="E16" i="5"/>
  <c r="E15" i="5"/>
  <c r="E14" i="5"/>
  <c r="E13" i="5"/>
  <c r="E12" i="5"/>
  <c r="E11" i="5"/>
  <c r="E10" i="5"/>
  <c r="E9" i="5"/>
  <c r="E8" i="5"/>
  <c r="M19" i="5"/>
  <c r="M18" i="5"/>
  <c r="M17" i="5"/>
  <c r="M16" i="5"/>
  <c r="M15" i="5"/>
  <c r="M14" i="5"/>
  <c r="M13" i="5"/>
  <c r="M12" i="5"/>
  <c r="K19" i="5"/>
  <c r="K18" i="5"/>
  <c r="K17" i="5"/>
  <c r="K15" i="5"/>
  <c r="K14" i="5"/>
  <c r="K13" i="5"/>
  <c r="K12" i="5"/>
  <c r="I19" i="5"/>
  <c r="I18" i="5"/>
  <c r="I17" i="5"/>
  <c r="I16" i="5"/>
  <c r="I15" i="5"/>
  <c r="I14" i="5"/>
  <c r="I13" i="5"/>
  <c r="I12" i="5"/>
  <c r="A2" i="5"/>
  <c r="A1" i="5"/>
  <c r="E51" i="15"/>
  <c r="E51" i="14"/>
  <c r="P51" i="14"/>
  <c r="P52" i="14" s="1"/>
  <c r="C13" i="5"/>
  <c r="C14" i="5"/>
  <c r="C15" i="5"/>
  <c r="C16" i="5"/>
  <c r="G16" i="5" s="1"/>
  <c r="C17" i="5"/>
  <c r="G17" i="5" s="1"/>
  <c r="C18" i="5"/>
  <c r="G18" i="5" s="1"/>
  <c r="C19" i="5"/>
  <c r="C12" i="5"/>
  <c r="G12" i="5" s="1"/>
  <c r="G13" i="5"/>
  <c r="G14" i="5"/>
  <c r="G19" i="5"/>
  <c r="G15" i="5"/>
  <c r="C9" i="5"/>
  <c r="G9" i="5" s="1"/>
  <c r="K9" i="5"/>
  <c r="M9" i="5"/>
  <c r="I9" i="5"/>
  <c r="C7" i="5"/>
  <c r="I7" i="5"/>
  <c r="K7" i="5"/>
  <c r="E7" i="5"/>
  <c r="M7" i="5"/>
  <c r="I11" i="5"/>
  <c r="K11" i="5"/>
  <c r="M11" i="5"/>
  <c r="C8" i="5"/>
  <c r="G8" i="5" s="1"/>
  <c r="M8" i="5"/>
  <c r="I8" i="5"/>
  <c r="C10" i="5"/>
  <c r="I10" i="5"/>
  <c r="K10" i="5"/>
  <c r="M10" i="5"/>
  <c r="C11" i="5"/>
  <c r="G10" i="5"/>
  <c r="G11" i="5"/>
  <c r="G7" i="5"/>
  <c r="A2" i="4"/>
  <c r="A1" i="14" s="1"/>
  <c r="G57" i="15"/>
  <c r="G57" i="14"/>
  <c r="I57" i="15"/>
  <c r="H57" i="15"/>
  <c r="H57" i="14"/>
  <c r="I57" i="14"/>
  <c r="J57" i="15"/>
  <c r="J57" i="14"/>
  <c r="L57" i="15"/>
  <c r="L57" i="14"/>
  <c r="K57" i="15"/>
  <c r="K57" i="14"/>
  <c r="N57" i="15"/>
  <c r="N57" i="14"/>
  <c r="M57" i="15"/>
  <c r="M57" i="14"/>
  <c r="O57" i="15"/>
  <c r="O57" i="14"/>
  <c r="P57" i="15"/>
  <c r="P57" i="14"/>
  <c r="Q57" i="15"/>
  <c r="Q57" i="14"/>
  <c r="F43" i="30" l="1"/>
  <c r="N43" i="30"/>
  <c r="H49" i="30"/>
  <c r="P49" i="30"/>
  <c r="J43" i="30"/>
  <c r="G43" i="30"/>
  <c r="O43" i="30"/>
  <c r="I49" i="30"/>
  <c r="E49" i="30"/>
  <c r="H43" i="30"/>
  <c r="P43" i="30"/>
  <c r="J49" i="30"/>
  <c r="I43" i="30"/>
  <c r="K49" i="30"/>
  <c r="E43" i="30"/>
  <c r="L49" i="30"/>
  <c r="K43" i="30"/>
  <c r="M49" i="30"/>
  <c r="M43" i="30"/>
  <c r="G49" i="30"/>
  <c r="L43" i="30"/>
  <c r="F49" i="30"/>
  <c r="N49" i="30"/>
  <c r="O49" i="30"/>
  <c r="H7" i="28"/>
  <c r="I7" i="28" s="1"/>
  <c r="J49" i="27"/>
  <c r="K49" i="27"/>
  <c r="L49" i="27"/>
  <c r="I49" i="27"/>
  <c r="M49" i="27"/>
  <c r="E49" i="27"/>
  <c r="F49" i="27"/>
  <c r="N49" i="27"/>
  <c r="G49" i="27"/>
  <c r="O49" i="27"/>
  <c r="H49" i="27"/>
  <c r="P49" i="27"/>
  <c r="J43" i="26"/>
  <c r="H49" i="26"/>
  <c r="P49" i="26"/>
  <c r="F49" i="26"/>
  <c r="K43" i="26"/>
  <c r="I49" i="26"/>
  <c r="L43" i="26"/>
  <c r="J49" i="26"/>
  <c r="P43" i="26"/>
  <c r="O49" i="26"/>
  <c r="M43" i="26"/>
  <c r="K49" i="26"/>
  <c r="H43" i="26"/>
  <c r="F43" i="26"/>
  <c r="N43" i="26"/>
  <c r="L49" i="26"/>
  <c r="E43" i="26"/>
  <c r="E49" i="26"/>
  <c r="G49" i="26"/>
  <c r="G43" i="26"/>
  <c r="O43" i="26"/>
  <c r="M49" i="26"/>
  <c r="N49" i="26"/>
  <c r="I43" i="26"/>
  <c r="H199" i="26"/>
  <c r="H200" i="26" s="1"/>
  <c r="H17" i="4"/>
  <c r="AD66" i="33"/>
  <c r="M43" i="32"/>
  <c r="F43" i="32"/>
  <c r="AE24" i="33" s="1"/>
  <c r="N43" i="32"/>
  <c r="G43" i="32"/>
  <c r="AF24" i="33" s="1"/>
  <c r="O43" i="32"/>
  <c r="AN24" i="33" s="1"/>
  <c r="H43" i="32"/>
  <c r="AG24" i="33" s="1"/>
  <c r="P43" i="32"/>
  <c r="AO24" i="33" s="1"/>
  <c r="I43" i="32"/>
  <c r="AH24" i="33" s="1"/>
  <c r="J43" i="32"/>
  <c r="K43" i="32"/>
  <c r="L43" i="32"/>
  <c r="AK24" i="33" s="1"/>
  <c r="E43" i="32"/>
  <c r="AD24" i="33" s="1"/>
  <c r="K43" i="28"/>
  <c r="K49" i="28"/>
  <c r="E43" i="28"/>
  <c r="J43" i="28"/>
  <c r="L43" i="28"/>
  <c r="L49" i="28"/>
  <c r="M43" i="28"/>
  <c r="M49" i="28"/>
  <c r="J49" i="28"/>
  <c r="F43" i="28"/>
  <c r="N43" i="28"/>
  <c r="F49" i="28"/>
  <c r="N49" i="28"/>
  <c r="G43" i="28"/>
  <c r="O43" i="28"/>
  <c r="G49" i="28"/>
  <c r="O49" i="28"/>
  <c r="H43" i="28"/>
  <c r="P43" i="28"/>
  <c r="H49" i="28"/>
  <c r="P49" i="28"/>
  <c r="E49" i="28"/>
  <c r="I43" i="28"/>
  <c r="I49" i="28"/>
  <c r="G43" i="29"/>
  <c r="O43" i="29"/>
  <c r="J49" i="29"/>
  <c r="O49" i="29"/>
  <c r="E43" i="29"/>
  <c r="H43" i="29"/>
  <c r="P43" i="29"/>
  <c r="K49" i="29"/>
  <c r="E49" i="29"/>
  <c r="I43" i="29"/>
  <c r="L49" i="29"/>
  <c r="L43" i="29"/>
  <c r="I49" i="29"/>
  <c r="J43" i="29"/>
  <c r="M49" i="29"/>
  <c r="G49" i="29"/>
  <c r="K43" i="29"/>
  <c r="F49" i="29"/>
  <c r="N49" i="29"/>
  <c r="M43" i="29"/>
  <c r="H49" i="29"/>
  <c r="P49" i="29"/>
  <c r="F43" i="29"/>
  <c r="N43" i="29"/>
  <c r="H7" i="30"/>
  <c r="F11" i="30"/>
  <c r="O20" i="12"/>
  <c r="AB20" i="33" s="1"/>
  <c r="E78" i="32"/>
  <c r="AD59" i="33" s="1"/>
  <c r="E125" i="32"/>
  <c r="E82" i="32"/>
  <c r="E79" i="32"/>
  <c r="AD60" i="33" s="1"/>
  <c r="CE5" i="12"/>
  <c r="CE6" i="12"/>
  <c r="G19" i="11"/>
  <c r="N20" i="12"/>
  <c r="AA20" i="33" s="1"/>
  <c r="H20" i="12"/>
  <c r="U20" i="33" s="1"/>
  <c r="M20" i="12"/>
  <c r="Z20" i="33" s="1"/>
  <c r="L20" i="12"/>
  <c r="Y20" i="33" s="1"/>
  <c r="F20" i="12"/>
  <c r="K20" i="12"/>
  <c r="X20" i="33" s="1"/>
  <c r="G20" i="12"/>
  <c r="T20" i="33" s="1"/>
  <c r="J20" i="12"/>
  <c r="W20" i="33" s="1"/>
  <c r="I20" i="12"/>
  <c r="V20" i="33" s="1"/>
  <c r="D20" i="12"/>
  <c r="Q20" i="33" s="1"/>
  <c r="E20" i="12"/>
  <c r="I193" i="28"/>
  <c r="J193" i="28" s="1"/>
  <c r="AR168" i="12"/>
  <c r="I192" i="26"/>
  <c r="J192" i="26" s="1"/>
  <c r="F170" i="12"/>
  <c r="S170" i="33" s="1"/>
  <c r="F170" i="33" s="1"/>
  <c r="E170" i="12"/>
  <c r="R170" i="33" s="1"/>
  <c r="E170" i="33" s="1"/>
  <c r="D170" i="12"/>
  <c r="Q170" i="33" s="1"/>
  <c r="D170" i="33" s="1"/>
  <c r="G18" i="11"/>
  <c r="CF8" i="12"/>
  <c r="CF9" i="12"/>
  <c r="P3" i="4"/>
  <c r="O3" i="4"/>
  <c r="N172" i="14"/>
  <c r="N108" i="14" s="1"/>
  <c r="N112" i="14" s="1"/>
  <c r="N136" i="14"/>
  <c r="H169" i="14"/>
  <c r="H126" i="14" s="1"/>
  <c r="M169" i="14"/>
  <c r="D17" i="21"/>
  <c r="D166" i="12"/>
  <c r="D16" i="21" s="1"/>
  <c r="I161" i="12"/>
  <c r="V161" i="33" s="1"/>
  <c r="I161" i="33" s="1"/>
  <c r="N161" i="12"/>
  <c r="AA161" i="33" s="1"/>
  <c r="N161" i="33" s="1"/>
  <c r="J161" i="12"/>
  <c r="W161" i="33" s="1"/>
  <c r="J161" i="33" s="1"/>
  <c r="O160" i="12"/>
  <c r="AB160" i="33" s="1"/>
  <c r="O160" i="33" s="1"/>
  <c r="E160" i="12"/>
  <c r="R160" i="33" s="1"/>
  <c r="E160" i="33" s="1"/>
  <c r="L161" i="12"/>
  <c r="Y161" i="33" s="1"/>
  <c r="L161" i="33" s="1"/>
  <c r="F169" i="15"/>
  <c r="F99" i="15" s="1"/>
  <c r="P169" i="15"/>
  <c r="P118" i="15" s="1"/>
  <c r="Q169" i="15"/>
  <c r="Q104" i="15" s="1"/>
  <c r="L169" i="15"/>
  <c r="K245" i="8"/>
  <c r="N6" i="8"/>
  <c r="I4" i="8"/>
  <c r="H5" i="8"/>
  <c r="K8" i="8"/>
  <c r="J9" i="8"/>
  <c r="J156" i="8" s="1"/>
  <c r="H428" i="8"/>
  <c r="H351" i="8"/>
  <c r="H424" i="8"/>
  <c r="H436" i="8"/>
  <c r="H454" i="8"/>
  <c r="H414" i="8"/>
  <c r="H408" i="8"/>
  <c r="H389" i="8"/>
  <c r="H407" i="8"/>
  <c r="H7" i="8"/>
  <c r="I7" i="8" s="1"/>
  <c r="J7" i="8" s="1"/>
  <c r="K7" i="8" s="1"/>
  <c r="L7" i="8" s="1"/>
  <c r="M7" i="8" s="1"/>
  <c r="H356" i="8"/>
  <c r="H432" i="8"/>
  <c r="H336" i="8"/>
  <c r="H430" i="8"/>
  <c r="H353" i="8"/>
  <c r="H447" i="8"/>
  <c r="H449" i="8"/>
  <c r="H442" i="8"/>
  <c r="H417" i="8"/>
  <c r="H446" i="8"/>
  <c r="H409" i="8"/>
  <c r="H412" i="8"/>
  <c r="H448" i="8"/>
  <c r="H398" i="8"/>
  <c r="H451" i="8"/>
  <c r="H348" i="8"/>
  <c r="H341" i="8"/>
  <c r="H420" i="8"/>
  <c r="H342" i="8"/>
  <c r="H399" i="8"/>
  <c r="H396" i="8"/>
  <c r="H393" i="8"/>
  <c r="H416" i="8"/>
  <c r="H394" i="8"/>
  <c r="H453" i="8"/>
  <c r="H445" i="8"/>
  <c r="H423" i="8"/>
  <c r="H427" i="8"/>
  <c r="H426" i="8"/>
  <c r="H350" i="8"/>
  <c r="H357" i="8"/>
  <c r="H387" i="8"/>
  <c r="H345" i="8"/>
  <c r="H422" i="8"/>
  <c r="H433" i="8"/>
  <c r="H456" i="8"/>
  <c r="H352" i="8"/>
  <c r="H452" i="8"/>
  <c r="H401" i="8"/>
  <c r="H400" i="8"/>
  <c r="H385" i="8"/>
  <c r="H431" i="8"/>
  <c r="H435" i="8"/>
  <c r="H347" i="8"/>
  <c r="H390" i="8"/>
  <c r="H402" i="8"/>
  <c r="H458" i="8"/>
  <c r="H397" i="8"/>
  <c r="H392" i="8"/>
  <c r="H383" i="8"/>
  <c r="H388" i="8"/>
  <c r="K391" i="15"/>
  <c r="M4" i="14"/>
  <c r="P15" i="14"/>
  <c r="Q11" i="14"/>
  <c r="K382" i="15"/>
  <c r="K362" i="15"/>
  <c r="K352" i="15"/>
  <c r="K349" i="15"/>
  <c r="K317" i="15"/>
  <c r="K379" i="15"/>
  <c r="K437" i="15"/>
  <c r="K367" i="15"/>
  <c r="K369" i="15"/>
  <c r="K373" i="15"/>
  <c r="K394" i="15"/>
  <c r="K399" i="15"/>
  <c r="K422" i="15"/>
  <c r="K434" i="15"/>
  <c r="K344" i="15"/>
  <c r="K329" i="15"/>
  <c r="K316" i="15"/>
  <c r="K322" i="15"/>
  <c r="K351" i="15"/>
  <c r="K436" i="15"/>
  <c r="K388" i="15"/>
  <c r="K432" i="15"/>
  <c r="K427" i="15"/>
  <c r="K390" i="15"/>
  <c r="K426" i="15"/>
  <c r="K393" i="15"/>
  <c r="K325" i="15"/>
  <c r="K377" i="15"/>
  <c r="K376" i="15"/>
  <c r="K380" i="15"/>
  <c r="K396" i="15"/>
  <c r="K360" i="15"/>
  <c r="K435" i="15"/>
  <c r="K334" i="15"/>
  <c r="K331" i="15"/>
  <c r="K386" i="15"/>
  <c r="K328" i="15"/>
  <c r="K424" i="15"/>
  <c r="K395" i="15"/>
  <c r="K361" i="15"/>
  <c r="K372" i="15"/>
  <c r="K350" i="15"/>
  <c r="K425" i="15"/>
  <c r="K375" i="15"/>
  <c r="K363" i="15"/>
  <c r="K384" i="15"/>
  <c r="K365" i="15"/>
  <c r="K359" i="15"/>
  <c r="K358" i="15"/>
  <c r="K385" i="15"/>
  <c r="K371" i="15"/>
  <c r="K353" i="15"/>
  <c r="K368" i="15"/>
  <c r="K440" i="15"/>
  <c r="K319" i="15"/>
  <c r="K387" i="15"/>
  <c r="K397" i="15"/>
  <c r="K381" i="15"/>
  <c r="K356" i="15"/>
  <c r="K357" i="15"/>
  <c r="K346" i="15"/>
  <c r="K430" i="15"/>
  <c r="K343" i="15"/>
  <c r="K398" i="15"/>
  <c r="K347" i="15"/>
  <c r="K433" i="15"/>
  <c r="K423" i="15"/>
  <c r="K335" i="15"/>
  <c r="K323" i="15"/>
  <c r="K340" i="15"/>
  <c r="K354" i="15"/>
  <c r="K364" i="15"/>
  <c r="K355" i="15"/>
  <c r="K332" i="15"/>
  <c r="K383" i="15"/>
  <c r="K429" i="15"/>
  <c r="K5" i="15"/>
  <c r="K348" i="15"/>
  <c r="K439" i="15"/>
  <c r="K389" i="15"/>
  <c r="K421" i="15"/>
  <c r="K345" i="15"/>
  <c r="K431" i="15"/>
  <c r="K400" i="15"/>
  <c r="K370" i="15"/>
  <c r="K320" i="15"/>
  <c r="K392" i="15"/>
  <c r="K438" i="15"/>
  <c r="P9" i="15"/>
  <c r="Q9" i="15" s="1"/>
  <c r="K366" i="15"/>
  <c r="K374" i="15"/>
  <c r="K342" i="15"/>
  <c r="G62" i="15"/>
  <c r="M24" i="15"/>
  <c r="K9" i="14"/>
  <c r="O244" i="14"/>
  <c r="F56" i="14"/>
  <c r="J245" i="14"/>
  <c r="I178" i="14"/>
  <c r="I180" i="14" s="1"/>
  <c r="F429" i="15"/>
  <c r="G429" i="15"/>
  <c r="I429" i="15"/>
  <c r="I65" i="15" s="1"/>
  <c r="I42" i="15" s="1"/>
  <c r="H429" i="15"/>
  <c r="F378" i="15"/>
  <c r="G378" i="15"/>
  <c r="K378" i="15"/>
  <c r="I378" i="15"/>
  <c r="J378" i="15"/>
  <c r="N6" i="15"/>
  <c r="M7" i="15"/>
  <c r="M6" i="14"/>
  <c r="J213" i="15"/>
  <c r="I341" i="15"/>
  <c r="L9" i="14"/>
  <c r="L119" i="14" s="1"/>
  <c r="M8" i="14"/>
  <c r="F178" i="14"/>
  <c r="F180" i="14" s="1"/>
  <c r="F90" i="14" s="1"/>
  <c r="F407" i="14"/>
  <c r="H62" i="15"/>
  <c r="H397" i="14"/>
  <c r="G397" i="14"/>
  <c r="F397" i="14"/>
  <c r="F62" i="14" s="1"/>
  <c r="F429" i="14"/>
  <c r="G429" i="14"/>
  <c r="H429" i="14"/>
  <c r="H432" i="14"/>
  <c r="G432" i="14"/>
  <c r="F432" i="14"/>
  <c r="G62" i="14"/>
  <c r="M255" i="8"/>
  <c r="H416" i="14"/>
  <c r="G385" i="15"/>
  <c r="F385" i="15"/>
  <c r="J200" i="8"/>
  <c r="H367" i="14"/>
  <c r="F84" i="8"/>
  <c r="F87" i="8"/>
  <c r="F83" i="8"/>
  <c r="F88" i="8"/>
  <c r="H433" i="14"/>
  <c r="G342" i="15"/>
  <c r="L18" i="14"/>
  <c r="H424" i="15"/>
  <c r="H65" i="15" s="1"/>
  <c r="H42" i="15" s="1"/>
  <c r="H375" i="15"/>
  <c r="H423" i="14"/>
  <c r="I364" i="8"/>
  <c r="P190" i="8"/>
  <c r="P215" i="8"/>
  <c r="G5" i="14"/>
  <c r="G366" i="14"/>
  <c r="G382" i="14"/>
  <c r="G351" i="14"/>
  <c r="G360" i="14"/>
  <c r="G56" i="14" s="1"/>
  <c r="G60" i="14" s="1"/>
  <c r="G68" i="14" s="1"/>
  <c r="G75" i="14" s="1"/>
  <c r="G324" i="14"/>
  <c r="G402" i="14"/>
  <c r="G404" i="14"/>
  <c r="G371" i="14"/>
  <c r="G381" i="14"/>
  <c r="H358" i="14"/>
  <c r="F368" i="14"/>
  <c r="H368" i="14"/>
  <c r="G415" i="14"/>
  <c r="F396" i="15"/>
  <c r="G396" i="15"/>
  <c r="G398" i="14"/>
  <c r="F86" i="8"/>
  <c r="H436" i="14"/>
  <c r="G321" i="14"/>
  <c r="G392" i="15"/>
  <c r="F392" i="15"/>
  <c r="F62" i="15" s="1"/>
  <c r="G433" i="15"/>
  <c r="F433" i="15"/>
  <c r="F381" i="8"/>
  <c r="O190" i="8"/>
  <c r="O212" i="8"/>
  <c r="G62" i="8"/>
  <c r="G59" i="8"/>
  <c r="F59" i="8"/>
  <c r="F62" i="8"/>
  <c r="H59" i="8"/>
  <c r="H62" i="8"/>
  <c r="I51" i="14"/>
  <c r="I52" i="14" s="1"/>
  <c r="G421" i="15"/>
  <c r="G65" i="15" s="1"/>
  <c r="G42" i="15" s="1"/>
  <c r="G419" i="15"/>
  <c r="H411" i="15"/>
  <c r="K198" i="14"/>
  <c r="K169" i="14"/>
  <c r="K119" i="14" s="1"/>
  <c r="O208" i="15"/>
  <c r="O169" i="15"/>
  <c r="O119" i="15" s="1"/>
  <c r="F373" i="8"/>
  <c r="G235" i="8"/>
  <c r="G363" i="8" s="1"/>
  <c r="G236" i="8"/>
  <c r="G364" i="8" s="1"/>
  <c r="G397" i="15"/>
  <c r="F332" i="14"/>
  <c r="F243" i="8"/>
  <c r="F371" i="8" s="1"/>
  <c r="F241" i="8"/>
  <c r="F369" i="8" s="1"/>
  <c r="H330" i="15"/>
  <c r="I406" i="15"/>
  <c r="L17" i="15"/>
  <c r="I368" i="8"/>
  <c r="H438" i="14"/>
  <c r="I333" i="15"/>
  <c r="G440" i="15"/>
  <c r="F339" i="15"/>
  <c r="G169" i="15"/>
  <c r="G172" i="15" s="1"/>
  <c r="G108" i="15" s="1"/>
  <c r="G112" i="15" s="1"/>
  <c r="G209" i="14"/>
  <c r="G337" i="14" s="1"/>
  <c r="G169" i="14"/>
  <c r="G103" i="14" s="1"/>
  <c r="K208" i="15"/>
  <c r="K336" i="15" s="1"/>
  <c r="K169" i="15"/>
  <c r="K98" i="15" s="1"/>
  <c r="L417" i="15"/>
  <c r="O192" i="14"/>
  <c r="O169" i="14"/>
  <c r="O122" i="14" s="1"/>
  <c r="H7" i="14"/>
  <c r="I7" i="14" s="1"/>
  <c r="J7" i="14" s="1"/>
  <c r="K7" i="14" s="1"/>
  <c r="L7" i="14" s="1"/>
  <c r="F169" i="14"/>
  <c r="G408" i="15"/>
  <c r="F247" i="8"/>
  <c r="F375" i="8" s="1"/>
  <c r="G326" i="15"/>
  <c r="H169" i="15"/>
  <c r="H103" i="15" s="1"/>
  <c r="M18" i="14"/>
  <c r="M30" i="14" s="1"/>
  <c r="F365" i="8"/>
  <c r="S160" i="33"/>
  <c r="F160" i="33" s="1"/>
  <c r="G418" i="15"/>
  <c r="J24" i="15"/>
  <c r="F367" i="8"/>
  <c r="F28" i="17"/>
  <c r="H98" i="32"/>
  <c r="AG79" i="33" s="1"/>
  <c r="E213" i="27"/>
  <c r="E212" i="27"/>
  <c r="H404" i="15"/>
  <c r="L406" i="15"/>
  <c r="V160" i="33"/>
  <c r="I160" i="33" s="1"/>
  <c r="I408" i="15"/>
  <c r="F8" i="11"/>
  <c r="D18" i="33"/>
  <c r="Q30" i="14"/>
  <c r="L30" i="14"/>
  <c r="G9" i="11"/>
  <c r="H9" i="11" s="1"/>
  <c r="I9" i="11" s="1"/>
  <c r="J9" i="11" s="1"/>
  <c r="K9" i="11" s="1"/>
  <c r="L9" i="11" s="1"/>
  <c r="M9" i="11" s="1"/>
  <c r="N9" i="11" s="1"/>
  <c r="O9" i="11" s="1"/>
  <c r="P9" i="11" s="1"/>
  <c r="AD81" i="33"/>
  <c r="AD78" i="33"/>
  <c r="AD80" i="33"/>
  <c r="H7" i="29"/>
  <c r="I6" i="32"/>
  <c r="AJ24" i="33"/>
  <c r="AL24" i="33"/>
  <c r="G51" i="32"/>
  <c r="I51" i="32"/>
  <c r="AH32" i="33" s="1"/>
  <c r="K51" i="32"/>
  <c r="AJ32" i="33" s="1"/>
  <c r="M51" i="32"/>
  <c r="AL32" i="33" s="1"/>
  <c r="O51" i="32"/>
  <c r="AN32" i="33" s="1"/>
  <c r="AI24" i="33"/>
  <c r="AM24" i="33"/>
  <c r="F51" i="32"/>
  <c r="AE32" i="33" s="1"/>
  <c r="H51" i="32"/>
  <c r="AG32" i="33" s="1"/>
  <c r="J51" i="32"/>
  <c r="AI32" i="33" s="1"/>
  <c r="L51" i="32"/>
  <c r="N51" i="32"/>
  <c r="AM32" i="33" s="1"/>
  <c r="P51" i="32"/>
  <c r="AO32" i="33" s="1"/>
  <c r="E28" i="32"/>
  <c r="E134" i="32"/>
  <c r="AD114" i="33" s="1"/>
  <c r="E124" i="32"/>
  <c r="AD104" i="33" s="1"/>
  <c r="E122" i="32"/>
  <c r="AD102" i="33" s="1"/>
  <c r="E120" i="32"/>
  <c r="AD100" i="33" s="1"/>
  <c r="E109" i="32"/>
  <c r="AD89" i="33" s="1"/>
  <c r="E123" i="32"/>
  <c r="AD103" i="33" s="1"/>
  <c r="E121" i="32"/>
  <c r="AD101" i="33" s="1"/>
  <c r="E115" i="32"/>
  <c r="AD95" i="33" s="1"/>
  <c r="AD63" i="33"/>
  <c r="I13" i="29"/>
  <c r="J13" i="29" s="1"/>
  <c r="K13" i="29" s="1"/>
  <c r="L13" i="29" s="1"/>
  <c r="M13" i="29" s="1"/>
  <c r="N13" i="29" s="1"/>
  <c r="O13" i="29" s="1"/>
  <c r="P13" i="29" s="1"/>
  <c r="I188" i="32"/>
  <c r="J188" i="32" s="1"/>
  <c r="H99" i="32"/>
  <c r="AG80" i="33" s="1"/>
  <c r="E108" i="32"/>
  <c r="AD88" i="33" s="1"/>
  <c r="AO168" i="33"/>
  <c r="AJ168" i="33"/>
  <c r="AI168" i="33"/>
  <c r="AL168" i="33"/>
  <c r="AK168" i="33"/>
  <c r="AG168" i="33"/>
  <c r="O27" i="17"/>
  <c r="E28" i="17"/>
  <c r="J28" i="17"/>
  <c r="H28" i="17"/>
  <c r="I166" i="8"/>
  <c r="J166" i="8"/>
  <c r="I28" i="17"/>
  <c r="G28" i="17"/>
  <c r="K28" i="17"/>
  <c r="O26" i="17"/>
  <c r="AQ168" i="12"/>
  <c r="AE168" i="33"/>
  <c r="E101" i="32"/>
  <c r="AD82" i="33" s="1"/>
  <c r="H130" i="15"/>
  <c r="H147" i="15" s="1"/>
  <c r="G187" i="8"/>
  <c r="O286" i="15"/>
  <c r="I116" i="14"/>
  <c r="I167" i="15"/>
  <c r="I283" i="15" s="1"/>
  <c r="I411" i="15" s="1"/>
  <c r="L51" i="14"/>
  <c r="L52" i="14" s="1"/>
  <c r="Q130" i="14"/>
  <c r="Q147" i="14" s="1"/>
  <c r="Q140" i="14"/>
  <c r="Q118" i="14"/>
  <c r="P78" i="14"/>
  <c r="P126" i="14"/>
  <c r="P131" i="14"/>
  <c r="P144" i="14"/>
  <c r="Q115" i="14"/>
  <c r="P100" i="14"/>
  <c r="P24" i="14"/>
  <c r="P23" i="14" s="1"/>
  <c r="P25" i="14" s="1"/>
  <c r="N93" i="14"/>
  <c r="N97" i="14"/>
  <c r="P18" i="14"/>
  <c r="P30" i="14" s="1"/>
  <c r="L115" i="14"/>
  <c r="I169" i="15"/>
  <c r="I121" i="15" s="1"/>
  <c r="I180" i="29"/>
  <c r="M83" i="14"/>
  <c r="K138" i="14"/>
  <c r="G198" i="14"/>
  <c r="G326" i="14" s="1"/>
  <c r="J167" i="15"/>
  <c r="J290" i="15" s="1"/>
  <c r="J418" i="15" s="1"/>
  <c r="J180" i="30"/>
  <c r="H180" i="29"/>
  <c r="BV164" i="12"/>
  <c r="AR164" i="12"/>
  <c r="K285" i="15"/>
  <c r="K413" i="15" s="1"/>
  <c r="K205" i="15"/>
  <c r="K333" i="15" s="1"/>
  <c r="K190" i="15"/>
  <c r="K313" i="15" s="1"/>
  <c r="H292" i="15"/>
  <c r="H420" i="15" s="1"/>
  <c r="P188" i="8"/>
  <c r="F180" i="28"/>
  <c r="E181" i="27"/>
  <c r="Q164" i="12"/>
  <c r="E6" i="4"/>
  <c r="Q165" i="12"/>
  <c r="D165" i="12" s="1"/>
  <c r="BW168" i="12"/>
  <c r="J6" i="30"/>
  <c r="G11" i="30"/>
  <c r="BH168" i="12"/>
  <c r="BG168" i="12"/>
  <c r="J6" i="28"/>
  <c r="AS168" i="12"/>
  <c r="AO168" i="12"/>
  <c r="I6" i="26"/>
  <c r="J6" i="26" s="1"/>
  <c r="S168" i="12"/>
  <c r="F9" i="28"/>
  <c r="F11" i="28"/>
  <c r="AE168" i="12"/>
  <c r="Q168" i="12"/>
  <c r="BR168" i="12"/>
  <c r="F9" i="30"/>
  <c r="G9" i="30" s="1"/>
  <c r="H9" i="30" s="1"/>
  <c r="F9" i="29"/>
  <c r="G9" i="29" s="1"/>
  <c r="F11" i="29"/>
  <c r="J6" i="27"/>
  <c r="F9" i="26"/>
  <c r="G9" i="26" s="1"/>
  <c r="F5" i="26"/>
  <c r="F212" i="26" s="1"/>
  <c r="M93" i="14"/>
  <c r="N289" i="15"/>
  <c r="H202" i="26"/>
  <c r="T170" i="12" s="1"/>
  <c r="H7" i="26"/>
  <c r="AA160" i="33"/>
  <c r="N160" i="33" s="1"/>
  <c r="Y160" i="33"/>
  <c r="L160" i="33" s="1"/>
  <c r="Z160" i="33"/>
  <c r="M160" i="33" s="1"/>
  <c r="U160" i="33"/>
  <c r="H160" i="33" s="1"/>
  <c r="T160" i="33"/>
  <c r="G160" i="33" s="1"/>
  <c r="X160" i="33"/>
  <c r="K160" i="33" s="1"/>
  <c r="W160" i="33"/>
  <c r="J160" i="33" s="1"/>
  <c r="G5" i="30"/>
  <c r="F213" i="30"/>
  <c r="F212" i="30"/>
  <c r="F210" i="30"/>
  <c r="F46" i="30" s="1"/>
  <c r="F214" i="30"/>
  <c r="F216" i="30"/>
  <c r="F211" i="30"/>
  <c r="F217" i="30"/>
  <c r="F209" i="30"/>
  <c r="F215" i="30"/>
  <c r="H11" i="30"/>
  <c r="K199" i="29"/>
  <c r="K200" i="29" s="1"/>
  <c r="F5" i="29"/>
  <c r="E213" i="29"/>
  <c r="E212" i="29"/>
  <c r="E217" i="29"/>
  <c r="E216" i="29"/>
  <c r="E215" i="29"/>
  <c r="E214" i="29"/>
  <c r="E211" i="29"/>
  <c r="E210" i="29"/>
  <c r="E46" i="29" s="1"/>
  <c r="E209" i="29"/>
  <c r="J199" i="28"/>
  <c r="J200" i="28" s="1"/>
  <c r="J203" i="27"/>
  <c r="M193" i="32"/>
  <c r="K192" i="32"/>
  <c r="I189" i="32"/>
  <c r="E213" i="28"/>
  <c r="E212" i="28"/>
  <c r="E216" i="28"/>
  <c r="E214" i="28"/>
  <c r="E210" i="28"/>
  <c r="E46" i="28" s="1"/>
  <c r="E217" i="28"/>
  <c r="E215" i="28"/>
  <c r="E211" i="28"/>
  <c r="E209" i="28"/>
  <c r="E217" i="27"/>
  <c r="E216" i="27"/>
  <c r="E215" i="27"/>
  <c r="E214" i="27"/>
  <c r="E211" i="27"/>
  <c r="E210" i="27"/>
  <c r="E46" i="27" s="1"/>
  <c r="E209" i="27"/>
  <c r="E43" i="27" s="1"/>
  <c r="E213" i="32"/>
  <c r="E212" i="32"/>
  <c r="E217" i="32"/>
  <c r="E215" i="32"/>
  <c r="E209" i="32"/>
  <c r="E54" i="32"/>
  <c r="AD35" i="33" s="1"/>
  <c r="E52" i="32"/>
  <c r="AD33" i="33" s="1"/>
  <c r="E216" i="32"/>
  <c r="E214" i="32"/>
  <c r="E210" i="32"/>
  <c r="E53" i="32"/>
  <c r="AD34" i="33" s="1"/>
  <c r="I7" i="30"/>
  <c r="H7" i="27"/>
  <c r="I7" i="27" s="1"/>
  <c r="N203" i="30"/>
  <c r="L202" i="30"/>
  <c r="BX170" i="12" s="1"/>
  <c r="E213" i="30"/>
  <c r="E212" i="30"/>
  <c r="E217" i="30"/>
  <c r="E215" i="30"/>
  <c r="E211" i="30"/>
  <c r="E209" i="30"/>
  <c r="E216" i="30"/>
  <c r="E214" i="30"/>
  <c r="E210" i="30"/>
  <c r="E46" i="30" s="1"/>
  <c r="K199" i="28"/>
  <c r="K200" i="28" s="1"/>
  <c r="J190" i="28"/>
  <c r="K190" i="28" s="1"/>
  <c r="I199" i="28"/>
  <c r="I200" i="28" s="1"/>
  <c r="I194" i="28"/>
  <c r="J194" i="28" s="1"/>
  <c r="I192" i="28"/>
  <c r="J192" i="28" s="1"/>
  <c r="I191" i="28"/>
  <c r="J191" i="28" s="1"/>
  <c r="H197" i="28"/>
  <c r="I203" i="27"/>
  <c r="I188" i="27"/>
  <c r="J190" i="27"/>
  <c r="H199" i="27"/>
  <c r="H200" i="27" s="1"/>
  <c r="AG168" i="12" s="1"/>
  <c r="J189" i="26"/>
  <c r="I195" i="26"/>
  <c r="I203" i="26"/>
  <c r="I191" i="26"/>
  <c r="J191" i="26" s="1"/>
  <c r="H197" i="26"/>
  <c r="I188" i="26"/>
  <c r="M195" i="32"/>
  <c r="J194" i="32"/>
  <c r="J190" i="32"/>
  <c r="I191" i="32"/>
  <c r="I99" i="32" s="1"/>
  <c r="AH80" i="33" s="1"/>
  <c r="E217" i="26"/>
  <c r="E216" i="26"/>
  <c r="E215" i="26"/>
  <c r="E214" i="26"/>
  <c r="E211" i="26"/>
  <c r="E210" i="26"/>
  <c r="E46" i="26" s="1"/>
  <c r="E209" i="26"/>
  <c r="E213" i="26"/>
  <c r="E212" i="26"/>
  <c r="E51" i="32"/>
  <c r="AD32" i="33" s="1"/>
  <c r="BQ168" i="12"/>
  <c r="E204" i="30"/>
  <c r="E205" i="30" s="1"/>
  <c r="E62" i="4" s="1"/>
  <c r="F204" i="30"/>
  <c r="F205" i="30" s="1"/>
  <c r="F62" i="4" s="1"/>
  <c r="AD168" i="12"/>
  <c r="BU168" i="12"/>
  <c r="K204" i="30"/>
  <c r="K205" i="30" s="1"/>
  <c r="K62" i="4" s="1"/>
  <c r="M190" i="29"/>
  <c r="BF168" i="12"/>
  <c r="K197" i="29"/>
  <c r="Q51" i="14"/>
  <c r="Q52" i="14" s="1"/>
  <c r="O51" i="14"/>
  <c r="O52" i="14" s="1"/>
  <c r="Q125" i="14"/>
  <c r="Q144" i="14"/>
  <c r="Q126" i="14"/>
  <c r="Q137" i="14"/>
  <c r="Q134" i="14"/>
  <c r="Q83" i="14"/>
  <c r="Q121" i="14"/>
  <c r="Q97" i="14"/>
  <c r="Q103" i="14"/>
  <c r="Q17" i="14"/>
  <c r="P120" i="14"/>
  <c r="P122" i="14"/>
  <c r="P133" i="14"/>
  <c r="P137" i="14"/>
  <c r="Q15" i="14"/>
  <c r="Q27" i="14" s="1"/>
  <c r="Q33" i="14" s="1"/>
  <c r="P96" i="14"/>
  <c r="P105" i="14" s="1"/>
  <c r="P97" i="14"/>
  <c r="P102" i="14"/>
  <c r="L140" i="14"/>
  <c r="M289" i="15"/>
  <c r="F122" i="14"/>
  <c r="F126" i="14"/>
  <c r="F51" i="14"/>
  <c r="F52" i="14" s="1"/>
  <c r="H285" i="15"/>
  <c r="H413" i="15" s="1"/>
  <c r="H289" i="15"/>
  <c r="H417" i="15" s="1"/>
  <c r="I98" i="14"/>
  <c r="I133" i="14"/>
  <c r="K131" i="15"/>
  <c r="L98" i="14"/>
  <c r="L118" i="14"/>
  <c r="L136" i="14"/>
  <c r="L141" i="14"/>
  <c r="L134" i="14"/>
  <c r="L133" i="14"/>
  <c r="Q131" i="14"/>
  <c r="Q138" i="14"/>
  <c r="Q78" i="14"/>
  <c r="Q116" i="14"/>
  <c r="Q136" i="14"/>
  <c r="Q101" i="14"/>
  <c r="Q114" i="14"/>
  <c r="Q113" i="14"/>
  <c r="Q123" i="14" s="1"/>
  <c r="Q142" i="14"/>
  <c r="Q120" i="14"/>
  <c r="Q141" i="14"/>
  <c r="Q104" i="14"/>
  <c r="Q100" i="14"/>
  <c r="Q99" i="14"/>
  <c r="Q102" i="14"/>
  <c r="Q98" i="14"/>
  <c r="P101" i="14"/>
  <c r="P130" i="14"/>
  <c r="P147" i="14" s="1"/>
  <c r="P141" i="14"/>
  <c r="P134" i="14"/>
  <c r="P136" i="14"/>
  <c r="P107" i="14"/>
  <c r="P142" i="14"/>
  <c r="P138" i="14"/>
  <c r="P114" i="14"/>
  <c r="P83" i="14"/>
  <c r="P140" i="14"/>
  <c r="P116" i="14"/>
  <c r="Q135" i="14"/>
  <c r="Q133" i="14"/>
  <c r="P125" i="14"/>
  <c r="P93" i="14"/>
  <c r="P104" i="14"/>
  <c r="P98" i="14"/>
  <c r="P118" i="14"/>
  <c r="P99" i="14"/>
  <c r="P121" i="14"/>
  <c r="O83" i="14"/>
  <c r="O101" i="14"/>
  <c r="P17" i="14"/>
  <c r="Q24" i="14"/>
  <c r="Q23" i="14" s="1"/>
  <c r="Q25" i="14" s="1"/>
  <c r="N142" i="14"/>
  <c r="N144" i="14"/>
  <c r="N15" i="14"/>
  <c r="P187" i="8"/>
  <c r="K187" i="8"/>
  <c r="L190" i="8"/>
  <c r="Q198" i="14"/>
  <c r="Q195" i="14"/>
  <c r="Q192" i="14"/>
  <c r="K133" i="15"/>
  <c r="K104" i="15"/>
  <c r="L83" i="14"/>
  <c r="L130" i="14"/>
  <c r="L147" i="14" s="1"/>
  <c r="L120" i="14"/>
  <c r="L138" i="14"/>
  <c r="L132" i="14"/>
  <c r="L78" i="14"/>
  <c r="I82" i="14"/>
  <c r="H15" i="15"/>
  <c r="H37" i="15" s="1"/>
  <c r="L36" i="14"/>
  <c r="P201" i="14"/>
  <c r="H196" i="15"/>
  <c r="H324" i="15" s="1"/>
  <c r="H64" i="15" s="1"/>
  <c r="H275" i="15"/>
  <c r="H403" i="15" s="1"/>
  <c r="K291" i="15"/>
  <c r="K419" i="15" s="1"/>
  <c r="K210" i="15"/>
  <c r="K338" i="15" s="1"/>
  <c r="P209" i="14"/>
  <c r="M103" i="15"/>
  <c r="E204" i="29"/>
  <c r="E205" i="29" s="1"/>
  <c r="E51" i="4" s="1"/>
  <c r="BD168" i="12"/>
  <c r="BE168" i="12"/>
  <c r="F204" i="29"/>
  <c r="F205" i="29" s="1"/>
  <c r="F51" i="4" s="1"/>
  <c r="M192" i="29"/>
  <c r="O4" i="29"/>
  <c r="M194" i="29"/>
  <c r="K202" i="29"/>
  <c r="J202" i="29"/>
  <c r="I204" i="29"/>
  <c r="I10" i="29"/>
  <c r="BI168" i="12"/>
  <c r="K203" i="29"/>
  <c r="J197" i="29"/>
  <c r="I8" i="29"/>
  <c r="I6" i="29"/>
  <c r="G204" i="29"/>
  <c r="H204" i="29"/>
  <c r="BT168" i="12"/>
  <c r="H204" i="30"/>
  <c r="BS168" i="12"/>
  <c r="G204" i="30"/>
  <c r="G205" i="30" s="1"/>
  <c r="G62" i="4" s="1"/>
  <c r="L197" i="30"/>
  <c r="BX168" i="12"/>
  <c r="M202" i="30"/>
  <c r="BY170" i="12" s="1"/>
  <c r="I8" i="30"/>
  <c r="I204" i="30"/>
  <c r="J4" i="30"/>
  <c r="L10" i="30"/>
  <c r="J204" i="30"/>
  <c r="BB168" i="12"/>
  <c r="K4" i="28"/>
  <c r="J195" i="28"/>
  <c r="I203" i="28"/>
  <c r="G204" i="28"/>
  <c r="H10" i="28"/>
  <c r="AT168" i="12"/>
  <c r="H202" i="28"/>
  <c r="AT170" i="12" s="1"/>
  <c r="J8" i="28"/>
  <c r="J196" i="28"/>
  <c r="F204" i="28"/>
  <c r="F5" i="28"/>
  <c r="E204" i="28"/>
  <c r="L189" i="27"/>
  <c r="J4" i="27"/>
  <c r="H8" i="27"/>
  <c r="F9" i="27"/>
  <c r="G9" i="27" s="1"/>
  <c r="F11" i="27"/>
  <c r="K203" i="27"/>
  <c r="I195" i="27"/>
  <c r="I193" i="27"/>
  <c r="H202" i="27"/>
  <c r="AG170" i="12" s="1"/>
  <c r="I191" i="27"/>
  <c r="H197" i="27"/>
  <c r="K190" i="27"/>
  <c r="I196" i="27"/>
  <c r="I194" i="27"/>
  <c r="I192" i="27"/>
  <c r="I10" i="27"/>
  <c r="G204" i="27"/>
  <c r="E204" i="27"/>
  <c r="F204" i="27"/>
  <c r="F5" i="27"/>
  <c r="F213" i="27" s="1"/>
  <c r="J193" i="26"/>
  <c r="R168" i="12"/>
  <c r="G204" i="32"/>
  <c r="E204" i="32"/>
  <c r="F5" i="32"/>
  <c r="E141" i="32"/>
  <c r="AD121" i="33" s="1"/>
  <c r="F11" i="32"/>
  <c r="AD168" i="33"/>
  <c r="AF168" i="33"/>
  <c r="J190" i="26"/>
  <c r="I196" i="26"/>
  <c r="AB168" i="12"/>
  <c r="I194" i="26"/>
  <c r="T168" i="12"/>
  <c r="I4" i="26"/>
  <c r="E204" i="26"/>
  <c r="I8" i="26"/>
  <c r="H10" i="26"/>
  <c r="F11" i="26"/>
  <c r="G204" i="26"/>
  <c r="F204" i="26"/>
  <c r="H7" i="32"/>
  <c r="I4" i="32"/>
  <c r="I196" i="32"/>
  <c r="AM168" i="33"/>
  <c r="AN168" i="33"/>
  <c r="N10" i="32"/>
  <c r="L8" i="32"/>
  <c r="H203" i="32"/>
  <c r="F204" i="32"/>
  <c r="F9" i="32"/>
  <c r="F78" i="32" s="1"/>
  <c r="N102" i="15"/>
  <c r="P40" i="14"/>
  <c r="K124" i="14"/>
  <c r="G79" i="14"/>
  <c r="G120" i="14"/>
  <c r="O281" i="15"/>
  <c r="G51" i="14"/>
  <c r="G52" i="14" s="1"/>
  <c r="M78" i="14"/>
  <c r="M15" i="14"/>
  <c r="K82" i="14"/>
  <c r="G119" i="14"/>
  <c r="G113" i="14"/>
  <c r="G123" i="14" s="1"/>
  <c r="G114" i="14"/>
  <c r="H119" i="14"/>
  <c r="G15" i="14"/>
  <c r="G29" i="14" s="1"/>
  <c r="O193" i="15"/>
  <c r="P273" i="15"/>
  <c r="P178" i="15" s="1"/>
  <c r="P180" i="15" s="1"/>
  <c r="P184" i="15" s="1"/>
  <c r="P143" i="15" s="1"/>
  <c r="M138" i="14"/>
  <c r="M136" i="14"/>
  <c r="M140" i="14"/>
  <c r="K134" i="14"/>
  <c r="K131" i="14"/>
  <c r="K142" i="14"/>
  <c r="K133" i="14"/>
  <c r="K17" i="14"/>
  <c r="G101" i="14"/>
  <c r="G116" i="14"/>
  <c r="G83" i="14"/>
  <c r="G135" i="14"/>
  <c r="K106" i="14"/>
  <c r="F114" i="15"/>
  <c r="M121" i="14"/>
  <c r="F288" i="15"/>
  <c r="F416" i="15" s="1"/>
  <c r="N193" i="15"/>
  <c r="M51" i="14"/>
  <c r="M52" i="14" s="1"/>
  <c r="N24" i="15"/>
  <c r="M130" i="14"/>
  <c r="M147" i="14" s="1"/>
  <c r="M115" i="14"/>
  <c r="M114" i="14"/>
  <c r="M144" i="14"/>
  <c r="M122" i="14"/>
  <c r="M137" i="14"/>
  <c r="M17" i="14"/>
  <c r="K141" i="14"/>
  <c r="K107" i="14"/>
  <c r="K132" i="14"/>
  <c r="K79" i="14"/>
  <c r="K116" i="14"/>
  <c r="K140" i="14"/>
  <c r="K135" i="14"/>
  <c r="I81" i="15"/>
  <c r="I84" i="15" s="1"/>
  <c r="J141" i="14"/>
  <c r="J115" i="14"/>
  <c r="G82" i="14"/>
  <c r="G141" i="14"/>
  <c r="G133" i="14"/>
  <c r="G131" i="14"/>
  <c r="G144" i="14"/>
  <c r="G126" i="14"/>
  <c r="G142" i="14"/>
  <c r="G106" i="14"/>
  <c r="G136" i="14"/>
  <c r="G172" i="14"/>
  <c r="G108" i="14" s="1"/>
  <c r="G112" i="14" s="1"/>
  <c r="I113" i="15"/>
  <c r="I123" i="15" s="1"/>
  <c r="F136" i="15"/>
  <c r="G125" i="14"/>
  <c r="G36" i="14"/>
  <c r="J100" i="14"/>
  <c r="G96" i="14"/>
  <c r="G105" i="14" s="1"/>
  <c r="G174" i="14"/>
  <c r="O289" i="15"/>
  <c r="O285" i="15"/>
  <c r="O273" i="15"/>
  <c r="L199" i="15"/>
  <c r="L327" i="15" s="1"/>
  <c r="L285" i="15"/>
  <c r="L413" i="15" s="1"/>
  <c r="H243" i="8"/>
  <c r="H371" i="8" s="1"/>
  <c r="H241" i="8"/>
  <c r="H369" i="8" s="1"/>
  <c r="H215" i="8"/>
  <c r="H343" i="8" s="1"/>
  <c r="H187" i="8"/>
  <c r="Q190" i="8"/>
  <c r="Q187" i="8"/>
  <c r="Q313" i="14"/>
  <c r="F103" i="14"/>
  <c r="G87" i="14"/>
  <c r="F86" i="14"/>
  <c r="F91" i="14" s="1"/>
  <c r="F36" i="14"/>
  <c r="F101" i="14"/>
  <c r="F120" i="14"/>
  <c r="H93" i="15"/>
  <c r="H100" i="15"/>
  <c r="H96" i="15"/>
  <c r="H105" i="15" s="1"/>
  <c r="H36" i="15"/>
  <c r="H116" i="15"/>
  <c r="H114" i="15"/>
  <c r="H133" i="15"/>
  <c r="H142" i="15"/>
  <c r="H18" i="15"/>
  <c r="H30" i="15" s="1"/>
  <c r="H136" i="15"/>
  <c r="H83" i="15"/>
  <c r="H115" i="15"/>
  <c r="H79" i="15"/>
  <c r="H119" i="15"/>
  <c r="H199" i="15"/>
  <c r="H327" i="15" s="1"/>
  <c r="H211" i="15"/>
  <c r="H339" i="15" s="1"/>
  <c r="H287" i="15"/>
  <c r="H415" i="15" s="1"/>
  <c r="H277" i="15"/>
  <c r="H405" i="15" s="1"/>
  <c r="I125" i="14"/>
  <c r="I137" i="14"/>
  <c r="I120" i="14"/>
  <c r="I130" i="14"/>
  <c r="I147" i="14" s="1"/>
  <c r="K18" i="15"/>
  <c r="K30" i="15" s="1"/>
  <c r="K289" i="15"/>
  <c r="K417" i="15" s="1"/>
  <c r="K286" i="15"/>
  <c r="K414" i="15" s="1"/>
  <c r="K196" i="15"/>
  <c r="K324" i="15" s="1"/>
  <c r="K64" i="15" s="1"/>
  <c r="K24" i="15"/>
  <c r="L100" i="14"/>
  <c r="L106" i="14"/>
  <c r="L15" i="14"/>
  <c r="L17" i="14"/>
  <c r="L113" i="14"/>
  <c r="L123" i="14" s="1"/>
  <c r="L135" i="14"/>
  <c r="L116" i="14"/>
  <c r="L126" i="14"/>
  <c r="L137" i="14"/>
  <c r="L114" i="14"/>
  <c r="L101" i="14"/>
  <c r="L142" i="14"/>
  <c r="L107" i="14"/>
  <c r="L122" i="14"/>
  <c r="L82" i="14"/>
  <c r="L131" i="14"/>
  <c r="L198" i="14"/>
  <c r="L24" i="14"/>
  <c r="L23" i="14" s="1"/>
  <c r="L25" i="14" s="1"/>
  <c r="M287" i="15"/>
  <c r="M286" i="15"/>
  <c r="M285" i="15"/>
  <c r="N170" i="14"/>
  <c r="N189" i="14"/>
  <c r="P148" i="14"/>
  <c r="P172" i="14"/>
  <c r="P108" i="14" s="1"/>
  <c r="P112" i="14" s="1"/>
  <c r="Q148" i="14"/>
  <c r="Q36" i="14"/>
  <c r="Q106" i="14"/>
  <c r="Q294" i="14"/>
  <c r="Q170" i="14"/>
  <c r="Q174" i="14"/>
  <c r="F249" i="8"/>
  <c r="F377" i="8" s="1"/>
  <c r="H311" i="8"/>
  <c r="M252" i="8"/>
  <c r="G125" i="15"/>
  <c r="G137" i="15"/>
  <c r="G122" i="15"/>
  <c r="I251" i="8"/>
  <c r="I379" i="8" s="1"/>
  <c r="I252" i="8"/>
  <c r="I380" i="8" s="1"/>
  <c r="H96" i="14"/>
  <c r="H105" i="14" s="1"/>
  <c r="H93" i="14"/>
  <c r="H172" i="14"/>
  <c r="H108" i="14" s="1"/>
  <c r="H112" i="14" s="1"/>
  <c r="H115" i="14"/>
  <c r="H136" i="14"/>
  <c r="H131" i="14"/>
  <c r="F231" i="8"/>
  <c r="F359" i="8" s="1"/>
  <c r="F233" i="8"/>
  <c r="F361" i="8" s="1"/>
  <c r="F186" i="8"/>
  <c r="F139" i="8" s="1"/>
  <c r="N51" i="14"/>
  <c r="N52" i="14" s="1"/>
  <c r="G51" i="15"/>
  <c r="G52" i="15" s="1"/>
  <c r="P16" i="14"/>
  <c r="O114" i="14"/>
  <c r="O137" i="14"/>
  <c r="O104" i="14"/>
  <c r="N78" i="14"/>
  <c r="N107" i="14"/>
  <c r="N115" i="14"/>
  <c r="N101" i="14"/>
  <c r="N103" i="14"/>
  <c r="O188" i="8"/>
  <c r="F190" i="8"/>
  <c r="O187" i="8"/>
  <c r="I87" i="14"/>
  <c r="H113" i="14"/>
  <c r="H123" i="14" s="1"/>
  <c r="G132" i="15"/>
  <c r="H294" i="14"/>
  <c r="G289" i="15"/>
  <c r="G417" i="15" s="1"/>
  <c r="G285" i="15"/>
  <c r="G413" i="15" s="1"/>
  <c r="G281" i="15"/>
  <c r="G409" i="15" s="1"/>
  <c r="F87" i="14"/>
  <c r="F125" i="14"/>
  <c r="F133" i="14"/>
  <c r="F79" i="14"/>
  <c r="F142" i="14"/>
  <c r="I122" i="15"/>
  <c r="I144" i="15"/>
  <c r="I275" i="15"/>
  <c r="I403" i="15" s="1"/>
  <c r="I210" i="15"/>
  <c r="I338" i="15" s="1"/>
  <c r="I24" i="15"/>
  <c r="J282" i="15"/>
  <c r="J410" i="15" s="1"/>
  <c r="J278" i="15"/>
  <c r="J406" i="15" s="1"/>
  <c r="K103" i="14"/>
  <c r="K93" i="14"/>
  <c r="K36" i="14"/>
  <c r="K209" i="14"/>
  <c r="K24" i="14"/>
  <c r="K23" i="14" s="1"/>
  <c r="K25" i="14" s="1"/>
  <c r="M100" i="14"/>
  <c r="M97" i="14"/>
  <c r="M125" i="14"/>
  <c r="P171" i="14"/>
  <c r="Q208" i="15"/>
  <c r="Q289" i="15"/>
  <c r="F215" i="8"/>
  <c r="F343" i="8" s="1"/>
  <c r="F246" i="8"/>
  <c r="F374" i="8" s="1"/>
  <c r="F248" i="8"/>
  <c r="F376" i="8" s="1"/>
  <c r="F235" i="8"/>
  <c r="F363" i="8" s="1"/>
  <c r="F236" i="8"/>
  <c r="F364" i="8" s="1"/>
  <c r="F238" i="8"/>
  <c r="F366" i="8" s="1"/>
  <c r="H231" i="8"/>
  <c r="H359" i="8" s="1"/>
  <c r="H233" i="8"/>
  <c r="H361" i="8" s="1"/>
  <c r="H190" i="8"/>
  <c r="G188" i="8"/>
  <c r="G104" i="15"/>
  <c r="G292" i="15"/>
  <c r="G420" i="15" s="1"/>
  <c r="G279" i="15"/>
  <c r="G407" i="15" s="1"/>
  <c r="G283" i="15"/>
  <c r="G411" i="15" s="1"/>
  <c r="G24" i="15"/>
  <c r="G23" i="15" s="1"/>
  <c r="G25" i="15" s="1"/>
  <c r="G210" i="15"/>
  <c r="G338" i="15" s="1"/>
  <c r="G208" i="15"/>
  <c r="G336" i="15" s="1"/>
  <c r="G273" i="15"/>
  <c r="G286" i="15"/>
  <c r="G414" i="15" s="1"/>
  <c r="G287" i="15"/>
  <c r="G415" i="15" s="1"/>
  <c r="G193" i="15"/>
  <c r="G321" i="15" s="1"/>
  <c r="G63" i="15" s="1"/>
  <c r="G196" i="15"/>
  <c r="G324" i="15" s="1"/>
  <c r="G64" i="15" s="1"/>
  <c r="G202" i="15"/>
  <c r="G330" i="15" s="1"/>
  <c r="G205" i="15"/>
  <c r="G333" i="15" s="1"/>
  <c r="J209" i="14"/>
  <c r="J201" i="14"/>
  <c r="K148" i="14"/>
  <c r="K118" i="14"/>
  <c r="K100" i="14"/>
  <c r="K99" i="14"/>
  <c r="K51" i="14"/>
  <c r="K52" i="14" s="1"/>
  <c r="K81" i="14"/>
  <c r="K84" i="14" s="1"/>
  <c r="K115" i="14"/>
  <c r="K83" i="14"/>
  <c r="K126" i="14"/>
  <c r="K78" i="14"/>
  <c r="K144" i="14"/>
  <c r="K113" i="14"/>
  <c r="K123" i="14" s="1"/>
  <c r="K130" i="14"/>
  <c r="K147" i="14" s="1"/>
  <c r="K122" i="14"/>
  <c r="K101" i="14"/>
  <c r="K137" i="14"/>
  <c r="K114" i="14"/>
  <c r="K136" i="14"/>
  <c r="K120" i="14"/>
  <c r="N188" i="8"/>
  <c r="Q188" i="8"/>
  <c r="N187" i="8"/>
  <c r="J134" i="14"/>
  <c r="J114" i="14"/>
  <c r="K15" i="14"/>
  <c r="H77" i="15"/>
  <c r="N190" i="8"/>
  <c r="J106" i="14"/>
  <c r="K172" i="14"/>
  <c r="K108" i="14" s="1"/>
  <c r="K112" i="14" s="1"/>
  <c r="G79" i="15"/>
  <c r="G81" i="15"/>
  <c r="G84" i="15" s="1"/>
  <c r="G136" i="15"/>
  <c r="G116" i="15"/>
  <c r="K125" i="14"/>
  <c r="G98" i="15"/>
  <c r="K96" i="14"/>
  <c r="K105" i="14" s="1"/>
  <c r="G199" i="15"/>
  <c r="G327" i="15" s="1"/>
  <c r="G190" i="15"/>
  <c r="G318" i="15" s="1"/>
  <c r="G275" i="15"/>
  <c r="G403" i="15" s="1"/>
  <c r="G211" i="15"/>
  <c r="G339" i="15" s="1"/>
  <c r="G277" i="15"/>
  <c r="G405" i="15" s="1"/>
  <c r="G288" i="15"/>
  <c r="G416" i="15" s="1"/>
  <c r="G148" i="14"/>
  <c r="G121" i="14"/>
  <c r="G104" i="14"/>
  <c r="G100" i="14"/>
  <c r="G97" i="14"/>
  <c r="G98" i="14"/>
  <c r="G24" i="14"/>
  <c r="G23" i="14" s="1"/>
  <c r="G25" i="14" s="1"/>
  <c r="G189" i="14"/>
  <c r="G139" i="14" s="1"/>
  <c r="G201" i="14"/>
  <c r="G329" i="14" s="1"/>
  <c r="G195" i="14"/>
  <c r="G323" i="14" s="1"/>
  <c r="G64" i="14" s="1"/>
  <c r="G170" i="14"/>
  <c r="G294" i="14"/>
  <c r="G182" i="14" s="1"/>
  <c r="G204" i="14"/>
  <c r="G332" i="14" s="1"/>
  <c r="G192" i="14"/>
  <c r="G320" i="14" s="1"/>
  <c r="G63" i="14" s="1"/>
  <c r="H148" i="15"/>
  <c r="H104" i="15"/>
  <c r="H102" i="15"/>
  <c r="H99" i="15"/>
  <c r="H97" i="15"/>
  <c r="H120" i="15"/>
  <c r="H118" i="15"/>
  <c r="H290" i="15"/>
  <c r="H418" i="15" s="1"/>
  <c r="H279" i="15"/>
  <c r="H407" i="15" s="1"/>
  <c r="H193" i="15"/>
  <c r="H321" i="15" s="1"/>
  <c r="H63" i="15" s="1"/>
  <c r="H205" i="15"/>
  <c r="H333" i="15" s="1"/>
  <c r="H24" i="15"/>
  <c r="H23" i="15" s="1"/>
  <c r="H25" i="15" s="1"/>
  <c r="H291" i="15"/>
  <c r="H419" i="15" s="1"/>
  <c r="H288" i="15"/>
  <c r="H416" i="15" s="1"/>
  <c r="H286" i="15"/>
  <c r="H414" i="15" s="1"/>
  <c r="H281" i="15"/>
  <c r="H409" i="15" s="1"/>
  <c r="H273" i="15"/>
  <c r="H190" i="15"/>
  <c r="H139" i="15" s="1"/>
  <c r="H208" i="15"/>
  <c r="H336" i="15" s="1"/>
  <c r="H210" i="15"/>
  <c r="H338" i="15" s="1"/>
  <c r="I276" i="15"/>
  <c r="I404" i="15" s="1"/>
  <c r="I284" i="15"/>
  <c r="I412" i="15" s="1"/>
  <c r="I103" i="14"/>
  <c r="I97" i="14"/>
  <c r="I170" i="14"/>
  <c r="I198" i="14"/>
  <c r="L148" i="14"/>
  <c r="L103" i="14"/>
  <c r="L96" i="14"/>
  <c r="L105" i="14" s="1"/>
  <c r="M288" i="15"/>
  <c r="M210" i="15"/>
  <c r="M273" i="15"/>
  <c r="M196" i="15"/>
  <c r="M193" i="15"/>
  <c r="P211" i="15"/>
  <c r="P193" i="15"/>
  <c r="P286" i="15"/>
  <c r="J251" i="8"/>
  <c r="J253" i="8"/>
  <c r="K24" i="8"/>
  <c r="K23" i="8" s="1"/>
  <c r="K25" i="8" s="1"/>
  <c r="I189" i="8"/>
  <c r="I125" i="8" s="1"/>
  <c r="I129" i="8" s="1"/>
  <c r="I148" i="8"/>
  <c r="F284" i="15"/>
  <c r="F412" i="15" s="1"/>
  <c r="F276" i="15"/>
  <c r="F404" i="15" s="1"/>
  <c r="F280" i="15"/>
  <c r="F408" i="15" s="1"/>
  <c r="F282" i="15"/>
  <c r="F410" i="15" s="1"/>
  <c r="F274" i="15"/>
  <c r="F402" i="15" s="1"/>
  <c r="F118" i="14"/>
  <c r="F99" i="14"/>
  <c r="F77" i="14"/>
  <c r="F294" i="14"/>
  <c r="F182" i="14" s="1"/>
  <c r="F198" i="14"/>
  <c r="F326" i="14" s="1"/>
  <c r="F174" i="14"/>
  <c r="N285" i="15"/>
  <c r="N291" i="15"/>
  <c r="N288" i="15"/>
  <c r="N199" i="15"/>
  <c r="N208" i="15"/>
  <c r="N287" i="15"/>
  <c r="O282" i="15"/>
  <c r="O278" i="15"/>
  <c r="O189" i="14"/>
  <c r="O204" i="14"/>
  <c r="P205" i="15"/>
  <c r="P199" i="15"/>
  <c r="P289" i="15"/>
  <c r="P287" i="15"/>
  <c r="P285" i="15"/>
  <c r="P277" i="15"/>
  <c r="P190" i="15"/>
  <c r="P196" i="15"/>
  <c r="P210" i="15"/>
  <c r="Q281" i="15"/>
  <c r="Q211" i="15"/>
  <c r="Q196" i="15"/>
  <c r="Q193" i="15"/>
  <c r="F251" i="8"/>
  <c r="F379" i="8" s="1"/>
  <c r="F24" i="8"/>
  <c r="F23" i="8" s="1"/>
  <c r="F25" i="8" s="1"/>
  <c r="H253" i="8"/>
  <c r="H381" i="8" s="1"/>
  <c r="H251" i="8"/>
  <c r="H379" i="8" s="1"/>
  <c r="H24" i="8"/>
  <c r="H23" i="8" s="1"/>
  <c r="H25" i="8" s="1"/>
  <c r="H33" i="4"/>
  <c r="AS166" i="12"/>
  <c r="F19" i="21" s="1"/>
  <c r="P24" i="15"/>
  <c r="N130" i="15"/>
  <c r="N147" i="15" s="1"/>
  <c r="O133" i="14"/>
  <c r="O144" i="14"/>
  <c r="O141" i="14"/>
  <c r="O134" i="14"/>
  <c r="O135" i="14"/>
  <c r="O125" i="14"/>
  <c r="O96" i="14"/>
  <c r="O105" i="14" s="1"/>
  <c r="O99" i="14"/>
  <c r="O102" i="14"/>
  <c r="O15" i="14"/>
  <c r="O24" i="14"/>
  <c r="O23" i="14" s="1"/>
  <c r="O25" i="14" s="1"/>
  <c r="F188" i="8"/>
  <c r="J119" i="14"/>
  <c r="J130" i="14"/>
  <c r="J147" i="14" s="1"/>
  <c r="J81" i="14"/>
  <c r="J84" i="14" s="1"/>
  <c r="J133" i="14"/>
  <c r="J126" i="14"/>
  <c r="F134" i="14"/>
  <c r="F113" i="14"/>
  <c r="F123" i="14" s="1"/>
  <c r="F106" i="14"/>
  <c r="F136" i="14"/>
  <c r="F82" i="14"/>
  <c r="F116" i="14"/>
  <c r="F141" i="14"/>
  <c r="F131" i="14"/>
  <c r="F15" i="14"/>
  <c r="F35" i="14" s="1"/>
  <c r="F43" i="14" s="1"/>
  <c r="H180" i="14"/>
  <c r="H111" i="14" s="1"/>
  <c r="F117" i="14"/>
  <c r="O106" i="14"/>
  <c r="G76" i="14"/>
  <c r="G80" i="14" s="1"/>
  <c r="F97" i="14"/>
  <c r="F102" i="14"/>
  <c r="O294" i="14"/>
  <c r="F192" i="14"/>
  <c r="F320" i="14" s="1"/>
  <c r="F63" i="14" s="1"/>
  <c r="J274" i="15"/>
  <c r="J402" i="15" s="1"/>
  <c r="N205" i="15"/>
  <c r="P208" i="15"/>
  <c r="P202" i="15"/>
  <c r="P281" i="15"/>
  <c r="P288" i="15"/>
  <c r="Q205" i="15"/>
  <c r="Q273" i="15"/>
  <c r="F278" i="15"/>
  <c r="F406" i="15" s="1"/>
  <c r="G278" i="15"/>
  <c r="G406" i="15" s="1"/>
  <c r="G274" i="15"/>
  <c r="G402" i="15" s="1"/>
  <c r="H171" i="15"/>
  <c r="H148" i="14"/>
  <c r="H121" i="14"/>
  <c r="H102" i="14"/>
  <c r="H24" i="14"/>
  <c r="H23" i="14" s="1"/>
  <c r="H25" i="14" s="1"/>
  <c r="H170" i="14"/>
  <c r="H195" i="14"/>
  <c r="H323" i="14" s="1"/>
  <c r="H204" i="14"/>
  <c r="H332" i="14" s="1"/>
  <c r="I118" i="15"/>
  <c r="I291" i="15"/>
  <c r="I419" i="15" s="1"/>
  <c r="I202" i="15"/>
  <c r="I330" i="15" s="1"/>
  <c r="K287" i="15"/>
  <c r="K415" i="15" s="1"/>
  <c r="K211" i="15"/>
  <c r="K339" i="15" s="1"/>
  <c r="K288" i="15"/>
  <c r="K416" i="15" s="1"/>
  <c r="K193" i="15"/>
  <c r="K321" i="15" s="1"/>
  <c r="K199" i="15"/>
  <c r="K327" i="15" s="1"/>
  <c r="K202" i="15"/>
  <c r="K330" i="15" s="1"/>
  <c r="K273" i="15"/>
  <c r="K277" i="15"/>
  <c r="K405" i="15" s="1"/>
  <c r="K281" i="15"/>
  <c r="K409" i="15" s="1"/>
  <c r="L287" i="15"/>
  <c r="L415" i="15" s="1"/>
  <c r="L277" i="15"/>
  <c r="L405" i="15" s="1"/>
  <c r="M278" i="15"/>
  <c r="M274" i="15"/>
  <c r="M103" i="14"/>
  <c r="M98" i="14"/>
  <c r="M204" i="14"/>
  <c r="M170" i="14"/>
  <c r="M189" i="14"/>
  <c r="M198" i="14"/>
  <c r="G245" i="8"/>
  <c r="G373" i="8" s="1"/>
  <c r="G246" i="8"/>
  <c r="G374" i="8" s="1"/>
  <c r="I241" i="8"/>
  <c r="I369" i="8" s="1"/>
  <c r="I244" i="8"/>
  <c r="I372" i="8" s="1"/>
  <c r="M250" i="8"/>
  <c r="M253" i="8"/>
  <c r="G171" i="14"/>
  <c r="G248" i="8"/>
  <c r="G376" i="8" s="1"/>
  <c r="G238" i="8"/>
  <c r="G366" i="8" s="1"/>
  <c r="H221" i="8"/>
  <c r="H349" i="8" s="1"/>
  <c r="H209" i="8"/>
  <c r="H331" i="8" s="1"/>
  <c r="I254" i="8"/>
  <c r="I382" i="8" s="1"/>
  <c r="I250" i="8"/>
  <c r="I378" i="8" s="1"/>
  <c r="I242" i="8"/>
  <c r="I370" i="8" s="1"/>
  <c r="J244" i="8"/>
  <c r="K249" i="8"/>
  <c r="L251" i="8"/>
  <c r="J171" i="14"/>
  <c r="F171" i="15"/>
  <c r="H280" i="15"/>
  <c r="H408" i="15" s="1"/>
  <c r="H284" i="15"/>
  <c r="H412" i="15" s="1"/>
  <c r="H278" i="15"/>
  <c r="H406" i="15" s="1"/>
  <c r="H274" i="15"/>
  <c r="H402" i="15" s="1"/>
  <c r="H171" i="14"/>
  <c r="H192" i="14"/>
  <c r="H320" i="14" s="1"/>
  <c r="H198" i="14"/>
  <c r="H326" i="14" s="1"/>
  <c r="J287" i="15"/>
  <c r="J415" i="15" s="1"/>
  <c r="J169" i="15"/>
  <c r="J136" i="15" s="1"/>
  <c r="J210" i="15"/>
  <c r="J338" i="15" s="1"/>
  <c r="J211" i="15"/>
  <c r="J339" i="15" s="1"/>
  <c r="K174" i="14"/>
  <c r="K192" i="14"/>
  <c r="K171" i="14"/>
  <c r="K201" i="14"/>
  <c r="K189" i="14"/>
  <c r="K170" i="14"/>
  <c r="L209" i="14"/>
  <c r="L170" i="14"/>
  <c r="L174" i="14"/>
  <c r="L189" i="14"/>
  <c r="L195" i="14"/>
  <c r="L201" i="14"/>
  <c r="L204" i="14"/>
  <c r="O287" i="15"/>
  <c r="O196" i="15"/>
  <c r="P278" i="15"/>
  <c r="P274" i="15"/>
  <c r="P294" i="14"/>
  <c r="P192" i="14"/>
  <c r="P198" i="14"/>
  <c r="Q204" i="14"/>
  <c r="Q209" i="14"/>
  <c r="G241" i="8"/>
  <c r="G369" i="8" s="1"/>
  <c r="G243" i="8"/>
  <c r="G371" i="8" s="1"/>
  <c r="G24" i="8"/>
  <c r="G23" i="8" s="1"/>
  <c r="G25" i="8" s="1"/>
  <c r="J188" i="8"/>
  <c r="L209" i="8"/>
  <c r="L331" i="8" s="1"/>
  <c r="L221" i="8"/>
  <c r="L24" i="8"/>
  <c r="L23" i="8" s="1"/>
  <c r="L25" i="8" s="1"/>
  <c r="M215" i="8"/>
  <c r="M186" i="8"/>
  <c r="M24" i="8"/>
  <c r="M23" i="8" s="1"/>
  <c r="M25" i="8" s="1"/>
  <c r="I232" i="8"/>
  <c r="I360" i="8" s="1"/>
  <c r="I24" i="8"/>
  <c r="I23" i="8" s="1"/>
  <c r="I25" i="8" s="1"/>
  <c r="P38" i="14"/>
  <c r="H35" i="15"/>
  <c r="H43" i="15" s="1"/>
  <c r="P27" i="14"/>
  <c r="P33" i="14" s="1"/>
  <c r="P313" i="14"/>
  <c r="H124" i="14"/>
  <c r="H140" i="14"/>
  <c r="H101" i="14"/>
  <c r="H120" i="14"/>
  <c r="H137" i="14"/>
  <c r="H79" i="14"/>
  <c r="H83" i="14"/>
  <c r="H130" i="14"/>
  <c r="H147" i="14" s="1"/>
  <c r="H133" i="14"/>
  <c r="H134" i="14"/>
  <c r="H122" i="14"/>
  <c r="H135" i="14"/>
  <c r="H107" i="14"/>
  <c r="H114" i="14"/>
  <c r="H116" i="14"/>
  <c r="H144" i="14"/>
  <c r="F144" i="15"/>
  <c r="L125" i="14"/>
  <c r="K18" i="14"/>
  <c r="K30" i="14" s="1"/>
  <c r="H15" i="14"/>
  <c r="H38" i="14" s="1"/>
  <c r="H125" i="14"/>
  <c r="P36" i="14"/>
  <c r="H36" i="14"/>
  <c r="G180" i="14"/>
  <c r="G111" i="14" s="1"/>
  <c r="L93" i="14"/>
  <c r="H86" i="14"/>
  <c r="H91" i="14" s="1"/>
  <c r="F117" i="15"/>
  <c r="F77" i="15"/>
  <c r="H100" i="14"/>
  <c r="H98" i="14"/>
  <c r="H97" i="14"/>
  <c r="H103" i="14"/>
  <c r="H118" i="14"/>
  <c r="H77" i="14"/>
  <c r="K98" i="14"/>
  <c r="K97" i="14"/>
  <c r="K102" i="14"/>
  <c r="K104" i="14"/>
  <c r="K121" i="14"/>
  <c r="L99" i="14"/>
  <c r="L97" i="14"/>
  <c r="L102" i="14"/>
  <c r="L104" i="14"/>
  <c r="L121" i="14"/>
  <c r="Q201" i="14"/>
  <c r="P204" i="14"/>
  <c r="H201" i="14"/>
  <c r="H329" i="14" s="1"/>
  <c r="P195" i="14"/>
  <c r="L192" i="14"/>
  <c r="H189" i="14"/>
  <c r="P174" i="14"/>
  <c r="P170" i="14"/>
  <c r="K204" i="14"/>
  <c r="K195" i="14"/>
  <c r="O205" i="15"/>
  <c r="O277" i="15"/>
  <c r="H282" i="15"/>
  <c r="H410" i="15" s="1"/>
  <c r="Q274" i="15"/>
  <c r="Q282" i="15"/>
  <c r="O288" i="15"/>
  <c r="O210" i="15"/>
  <c r="H209" i="14"/>
  <c r="H337" i="14" s="1"/>
  <c r="I282" i="15"/>
  <c r="I410" i="15" s="1"/>
  <c r="I274" i="15"/>
  <c r="I402" i="15" s="1"/>
  <c r="I81" i="8"/>
  <c r="I89" i="8" s="1"/>
  <c r="N274" i="15"/>
  <c r="N278" i="15"/>
  <c r="N294" i="14"/>
  <c r="N174" i="14"/>
  <c r="L311" i="8"/>
  <c r="L215" i="8"/>
  <c r="N250" i="8"/>
  <c r="N251" i="8"/>
  <c r="N24" i="8"/>
  <c r="N23" i="8" s="1"/>
  <c r="N25" i="8" s="1"/>
  <c r="H182" i="30"/>
  <c r="F182" i="29"/>
  <c r="L210" i="15"/>
  <c r="L338" i="15" s="1"/>
  <c r="L196" i="15"/>
  <c r="L324" i="15" s="1"/>
  <c r="L208" i="15"/>
  <c r="L336" i="15" s="1"/>
  <c r="N171" i="14"/>
  <c r="I110" i="8"/>
  <c r="I120" i="8"/>
  <c r="I130" i="8"/>
  <c r="I140" i="8" s="1"/>
  <c r="I139" i="8"/>
  <c r="I152" i="8"/>
  <c r="H245" i="8"/>
  <c r="H373" i="8" s="1"/>
  <c r="H247" i="8"/>
  <c r="H375" i="8" s="1"/>
  <c r="H236" i="8"/>
  <c r="H364" i="8" s="1"/>
  <c r="H238" i="8"/>
  <c r="H366" i="8" s="1"/>
  <c r="I248" i="8"/>
  <c r="I376" i="8" s="1"/>
  <c r="I246" i="8"/>
  <c r="I374" i="8" s="1"/>
  <c r="I235" i="8"/>
  <c r="I363" i="8" s="1"/>
  <c r="I238" i="8"/>
  <c r="I366" i="8" s="1"/>
  <c r="L240" i="8"/>
  <c r="L241" i="8"/>
  <c r="P37" i="14"/>
  <c r="P35" i="14"/>
  <c r="P43" i="14" s="1"/>
  <c r="N38" i="14"/>
  <c r="P41" i="14"/>
  <c r="N101" i="15"/>
  <c r="N134" i="15"/>
  <c r="O136" i="14"/>
  <c r="O115" i="14"/>
  <c r="O120" i="14"/>
  <c r="O131" i="14"/>
  <c r="O113" i="14"/>
  <c r="O123" i="14" s="1"/>
  <c r="O116" i="14"/>
  <c r="O138" i="14"/>
  <c r="O130" i="14"/>
  <c r="O147" i="14" s="1"/>
  <c r="O107" i="14"/>
  <c r="O78" i="14"/>
  <c r="O126" i="14"/>
  <c r="O142" i="14"/>
  <c r="O140" i="14"/>
  <c r="O97" i="14"/>
  <c r="O103" i="14"/>
  <c r="O98" i="14"/>
  <c r="O100" i="14"/>
  <c r="O121" i="14"/>
  <c r="O18" i="14"/>
  <c r="O30" i="14" s="1"/>
  <c r="L24" i="15"/>
  <c r="K188" i="8"/>
  <c r="L188" i="8"/>
  <c r="I188" i="8"/>
  <c r="H188" i="8"/>
  <c r="N172" i="15"/>
  <c r="N108" i="15" s="1"/>
  <c r="N112" i="15" s="1"/>
  <c r="O172" i="14"/>
  <c r="O108" i="14" s="1"/>
  <c r="O112" i="14" s="1"/>
  <c r="O36" i="14"/>
  <c r="O201" i="14"/>
  <c r="O174" i="14"/>
  <c r="O198" i="14"/>
  <c r="O209" i="14"/>
  <c r="O170" i="14"/>
  <c r="O274" i="15"/>
  <c r="N210" i="15"/>
  <c r="N286" i="15"/>
  <c r="N202" i="15"/>
  <c r="N196" i="15"/>
  <c r="N190" i="15"/>
  <c r="N313" i="15" s="1"/>
  <c r="L211" i="15"/>
  <c r="L339" i="15" s="1"/>
  <c r="L205" i="15"/>
  <c r="L333" i="15" s="1"/>
  <c r="L193" i="15"/>
  <c r="L321" i="15" s="1"/>
  <c r="L273" i="15"/>
  <c r="L281" i="15"/>
  <c r="L409" i="15" s="1"/>
  <c r="L286" i="15"/>
  <c r="L414" i="15" s="1"/>
  <c r="L288" i="15"/>
  <c r="L416" i="15" s="1"/>
  <c r="L291" i="15"/>
  <c r="L419" i="15" s="1"/>
  <c r="L190" i="15"/>
  <c r="L313" i="15" s="1"/>
  <c r="N281" i="15"/>
  <c r="L202" i="15"/>
  <c r="L330" i="15" s="1"/>
  <c r="N277" i="15"/>
  <c r="O195" i="14"/>
  <c r="N273" i="15"/>
  <c r="F275" i="15"/>
  <c r="F403" i="15" s="1"/>
  <c r="F290" i="15"/>
  <c r="F418" i="15" s="1"/>
  <c r="I286" i="15"/>
  <c r="I414" i="15" s="1"/>
  <c r="I285" i="15"/>
  <c r="I413" i="15" s="1"/>
  <c r="I281" i="15"/>
  <c r="I409" i="15" s="1"/>
  <c r="I193" i="15"/>
  <c r="I321" i="15" s="1"/>
  <c r="I63" i="15" s="1"/>
  <c r="I66" i="15" s="1"/>
  <c r="I135" i="8"/>
  <c r="I116" i="8"/>
  <c r="K282" i="15"/>
  <c r="K410" i="15" s="1"/>
  <c r="K278" i="15"/>
  <c r="K406" i="15" s="1"/>
  <c r="K274" i="15"/>
  <c r="K402" i="15" s="1"/>
  <c r="I18" i="8"/>
  <c r="K30" i="8" s="1"/>
  <c r="M277" i="15"/>
  <c r="M291" i="15"/>
  <c r="M211" i="15"/>
  <c r="M208" i="15"/>
  <c r="M281" i="15"/>
  <c r="M199" i="15"/>
  <c r="M202" i="15"/>
  <c r="M190" i="15"/>
  <c r="O311" i="8"/>
  <c r="O199" i="8" s="1"/>
  <c r="O218" i="8"/>
  <c r="O186" i="8"/>
  <c r="O24" i="8"/>
  <c r="O23" i="8" s="1"/>
  <c r="O25" i="8" s="1"/>
  <c r="O206" i="8"/>
  <c r="P24" i="8"/>
  <c r="P23" i="8" s="1"/>
  <c r="P25" i="8" s="1"/>
  <c r="Q209" i="8"/>
  <c r="Q221" i="8"/>
  <c r="Q311" i="8"/>
  <c r="Q186" i="8"/>
  <c r="Q215" i="8"/>
  <c r="Q24" i="8"/>
  <c r="Q23" i="8" s="1"/>
  <c r="Q25" i="8" s="1"/>
  <c r="N209" i="8"/>
  <c r="N221" i="8"/>
  <c r="N186" i="8"/>
  <c r="N206" i="8"/>
  <c r="G253" i="8"/>
  <c r="G381" i="8" s="1"/>
  <c r="G251" i="8"/>
  <c r="G379" i="8" s="1"/>
  <c r="G233" i="8"/>
  <c r="G361" i="8" s="1"/>
  <c r="G215" i="8"/>
  <c r="G343" i="8" s="1"/>
  <c r="J236" i="8"/>
  <c r="J238" i="8"/>
  <c r="K250" i="8"/>
  <c r="K252" i="8"/>
  <c r="K209" i="8"/>
  <c r="K331" i="8" s="1"/>
  <c r="K215" i="8"/>
  <c r="K186" i="8"/>
  <c r="L250" i="8"/>
  <c r="L252" i="8"/>
  <c r="L254" i="8"/>
  <c r="L206" i="8"/>
  <c r="L212" i="8"/>
  <c r="L218" i="8"/>
  <c r="L186" i="8"/>
  <c r="G180" i="28"/>
  <c r="J168" i="15"/>
  <c r="F311" i="8"/>
  <c r="F221" i="8"/>
  <c r="F349" i="8" s="1"/>
  <c r="F209" i="8"/>
  <c r="G249" i="8"/>
  <c r="G377" i="8" s="1"/>
  <c r="G247" i="8"/>
  <c r="G375" i="8" s="1"/>
  <c r="G239" i="8"/>
  <c r="G367" i="8" s="1"/>
  <c r="G237" i="8"/>
  <c r="G365" i="8" s="1"/>
  <c r="H249" i="8"/>
  <c r="H377" i="8" s="1"/>
  <c r="I253" i="8"/>
  <c r="I381" i="8" s="1"/>
  <c r="I243" i="8"/>
  <c r="I371" i="8" s="1"/>
  <c r="I239" i="8"/>
  <c r="I367" i="8" s="1"/>
  <c r="I237" i="8"/>
  <c r="I365" i="8" s="1"/>
  <c r="I212" i="8"/>
  <c r="I340" i="8" s="1"/>
  <c r="I64" i="8" s="1"/>
  <c r="K254" i="8"/>
  <c r="K221" i="8"/>
  <c r="O221" i="8"/>
  <c r="O215" i="8"/>
  <c r="O209" i="8"/>
  <c r="E182" i="29"/>
  <c r="E113" i="29" s="1"/>
  <c r="I182" i="30"/>
  <c r="G182" i="29"/>
  <c r="Q171" i="14"/>
  <c r="G311" i="8"/>
  <c r="H246" i="8"/>
  <c r="H374" i="8" s="1"/>
  <c r="H248" i="8"/>
  <c r="H376" i="8" s="1"/>
  <c r="H235" i="8"/>
  <c r="H363" i="8" s="1"/>
  <c r="H237" i="8"/>
  <c r="H365" i="8" s="1"/>
  <c r="H239" i="8"/>
  <c r="H367" i="8" s="1"/>
  <c r="J250" i="8"/>
  <c r="J252" i="8"/>
  <c r="J254" i="8"/>
  <c r="J241" i="8"/>
  <c r="J243" i="8"/>
  <c r="J235" i="8"/>
  <c r="J237" i="8"/>
  <c r="K251" i="8"/>
  <c r="K253" i="8"/>
  <c r="K206" i="8"/>
  <c r="K212" i="8"/>
  <c r="K218" i="8"/>
  <c r="K311" i="8"/>
  <c r="K240" i="8"/>
  <c r="K241" i="8"/>
  <c r="K243" i="8"/>
  <c r="M209" i="8"/>
  <c r="M331" i="8" s="1"/>
  <c r="M221" i="8"/>
  <c r="BV165" i="12"/>
  <c r="J181" i="30"/>
  <c r="BG165" i="12"/>
  <c r="H181" i="29"/>
  <c r="G231" i="8"/>
  <c r="G359" i="8" s="1"/>
  <c r="G209" i="8"/>
  <c r="G221" i="8"/>
  <c r="G349" i="8" s="1"/>
  <c r="K235" i="8"/>
  <c r="K236" i="8"/>
  <c r="AR165" i="12"/>
  <c r="F181" i="28"/>
  <c r="E182" i="30"/>
  <c r="E113" i="30" s="1"/>
  <c r="BG164" i="12"/>
  <c r="G34" i="4"/>
  <c r="N41" i="14"/>
  <c r="F148" i="15"/>
  <c r="F120" i="15"/>
  <c r="F104" i="15"/>
  <c r="F100" i="15"/>
  <c r="F97" i="15"/>
  <c r="F98" i="15"/>
  <c r="F102" i="15"/>
  <c r="F119" i="15"/>
  <c r="F93" i="15"/>
  <c r="G87" i="15"/>
  <c r="F86" i="15"/>
  <c r="F91" i="15" s="1"/>
  <c r="F87" i="15"/>
  <c r="F15" i="15"/>
  <c r="F17" i="15"/>
  <c r="F132" i="15"/>
  <c r="F79" i="15"/>
  <c r="F122" i="15"/>
  <c r="F142" i="15"/>
  <c r="F115" i="15"/>
  <c r="F113" i="15"/>
  <c r="F123" i="15" s="1"/>
  <c r="F106" i="15"/>
  <c r="F126" i="15"/>
  <c r="F138" i="15"/>
  <c r="F134" i="15"/>
  <c r="F83" i="15"/>
  <c r="F81" i="15"/>
  <c r="F84" i="15" s="1"/>
  <c r="F78" i="15"/>
  <c r="F141" i="15"/>
  <c r="F133" i="15"/>
  <c r="F286" i="15"/>
  <c r="F414" i="15" s="1"/>
  <c r="F287" i="15"/>
  <c r="F415" i="15" s="1"/>
  <c r="F190" i="15"/>
  <c r="F193" i="15"/>
  <c r="F321" i="15" s="1"/>
  <c r="F63" i="15" s="1"/>
  <c r="F66" i="15" s="1"/>
  <c r="F196" i="15"/>
  <c r="F324" i="15" s="1"/>
  <c r="F64" i="15" s="1"/>
  <c r="F199" i="15"/>
  <c r="F327" i="15" s="1"/>
  <c r="F202" i="15"/>
  <c r="F330" i="15" s="1"/>
  <c r="F205" i="15"/>
  <c r="F333" i="15" s="1"/>
  <c r="F208" i="15"/>
  <c r="F336" i="15" s="1"/>
  <c r="F277" i="15"/>
  <c r="F405" i="15" s="1"/>
  <c r="F285" i="15"/>
  <c r="F413" i="15" s="1"/>
  <c r="I148" i="14"/>
  <c r="I104" i="14"/>
  <c r="I102" i="14"/>
  <c r="I99" i="14"/>
  <c r="I118" i="14"/>
  <c r="I96" i="14"/>
  <c r="I105" i="14" s="1"/>
  <c r="I93" i="14"/>
  <c r="I36" i="14"/>
  <c r="I17" i="14"/>
  <c r="I15" i="14"/>
  <c r="I172" i="14"/>
  <c r="I108" i="14" s="1"/>
  <c r="I112" i="14" s="1"/>
  <c r="I141" i="14"/>
  <c r="I138" i="14"/>
  <c r="I136" i="14"/>
  <c r="I134" i="14"/>
  <c r="I142" i="14"/>
  <c r="I131" i="14"/>
  <c r="I113" i="14"/>
  <c r="I123" i="14" s="1"/>
  <c r="I83" i="14"/>
  <c r="I81" i="14"/>
  <c r="I84" i="14" s="1"/>
  <c r="I144" i="14"/>
  <c r="I119" i="14"/>
  <c r="I122" i="14"/>
  <c r="I107" i="14"/>
  <c r="I78" i="14"/>
  <c r="I77" i="14"/>
  <c r="I86" i="14"/>
  <c r="K87" i="14" s="1"/>
  <c r="I24" i="14"/>
  <c r="I23" i="14" s="1"/>
  <c r="I25" i="14" s="1"/>
  <c r="I294" i="14"/>
  <c r="I171" i="14"/>
  <c r="I189" i="14"/>
  <c r="I192" i="14"/>
  <c r="I201" i="14"/>
  <c r="I204" i="14"/>
  <c r="J148" i="14"/>
  <c r="J121" i="14"/>
  <c r="J98" i="14"/>
  <c r="J103" i="14"/>
  <c r="J96" i="14"/>
  <c r="J105" i="14" s="1"/>
  <c r="J104" i="14"/>
  <c r="J93" i="14"/>
  <c r="J125" i="14"/>
  <c r="J15" i="14"/>
  <c r="J17" i="14"/>
  <c r="J76" i="14"/>
  <c r="J80" i="14" s="1"/>
  <c r="J87" i="14"/>
  <c r="J124" i="14"/>
  <c r="J142" i="14"/>
  <c r="J78" i="14"/>
  <c r="J79" i="14"/>
  <c r="J138" i="14"/>
  <c r="J116" i="14"/>
  <c r="J136" i="14"/>
  <c r="J137" i="14"/>
  <c r="J135" i="14"/>
  <c r="J83" i="14"/>
  <c r="J131" i="14"/>
  <c r="J107" i="14"/>
  <c r="J82" i="14"/>
  <c r="J120" i="14"/>
  <c r="J24" i="14"/>
  <c r="J23" i="14" s="1"/>
  <c r="J25" i="14" s="1"/>
  <c r="J204" i="14"/>
  <c r="J192" i="14"/>
  <c r="J195" i="14"/>
  <c r="J174" i="14"/>
  <c r="N148" i="14"/>
  <c r="N99" i="14"/>
  <c r="N121" i="14"/>
  <c r="N104" i="14"/>
  <c r="N98" i="14"/>
  <c r="N102" i="14"/>
  <c r="N130" i="14"/>
  <c r="N147" i="14" s="1"/>
  <c r="N113" i="14"/>
  <c r="N123" i="14" s="1"/>
  <c r="N116" i="14"/>
  <c r="N83" i="14"/>
  <c r="N122" i="14"/>
  <c r="N126" i="14"/>
  <c r="N134" i="14"/>
  <c r="N140" i="14"/>
  <c r="N135" i="14"/>
  <c r="N114" i="14"/>
  <c r="N120" i="14"/>
  <c r="N141" i="14"/>
  <c r="N209" i="14"/>
  <c r="N195" i="14"/>
  <c r="N204" i="14"/>
  <c r="N192" i="14"/>
  <c r="N24" i="14"/>
  <c r="N23" i="14" s="1"/>
  <c r="N25" i="14" s="1"/>
  <c r="I79" i="8"/>
  <c r="I82" i="8"/>
  <c r="I113" i="8"/>
  <c r="I122" i="8" s="1"/>
  <c r="I115" i="8"/>
  <c r="I117" i="8"/>
  <c r="I119" i="8"/>
  <c r="I121" i="8"/>
  <c r="I124" i="8"/>
  <c r="I131" i="8"/>
  <c r="I133" i="8"/>
  <c r="I136" i="8"/>
  <c r="I138" i="8"/>
  <c r="I141" i="8"/>
  <c r="I147" i="8"/>
  <c r="I164" i="8" s="1"/>
  <c r="I149" i="8"/>
  <c r="I151" i="8"/>
  <c r="I153" i="8"/>
  <c r="I155" i="8"/>
  <c r="I157" i="8"/>
  <c r="I159" i="8"/>
  <c r="I161" i="8"/>
  <c r="I36" i="8"/>
  <c r="I51" i="8"/>
  <c r="I52" i="8" s="1"/>
  <c r="I165" i="8"/>
  <c r="I17" i="8"/>
  <c r="J245" i="8"/>
  <c r="J247" i="8"/>
  <c r="J249" i="8"/>
  <c r="J248" i="8"/>
  <c r="J209" i="8"/>
  <c r="J215" i="8"/>
  <c r="J221" i="8"/>
  <c r="J311" i="8"/>
  <c r="J186" i="8"/>
  <c r="J212" i="8"/>
  <c r="L245" i="8"/>
  <c r="L247" i="8"/>
  <c r="L246" i="8"/>
  <c r="L248" i="8"/>
  <c r="M188" i="8"/>
  <c r="J51" i="14"/>
  <c r="J52" i="14" s="1"/>
  <c r="G38" i="14"/>
  <c r="N137" i="14"/>
  <c r="N133" i="14"/>
  <c r="N131" i="14"/>
  <c r="N138" i="14"/>
  <c r="N125" i="14"/>
  <c r="N96" i="14"/>
  <c r="N105" i="14" s="1"/>
  <c r="N118" i="14"/>
  <c r="N100" i="14"/>
  <c r="N17" i="14"/>
  <c r="N18" i="14"/>
  <c r="N30" i="14" s="1"/>
  <c r="J187" i="8"/>
  <c r="J101" i="14"/>
  <c r="J140" i="14"/>
  <c r="J144" i="14"/>
  <c r="J132" i="14"/>
  <c r="J113" i="14"/>
  <c r="J123" i="14" s="1"/>
  <c r="J122" i="14"/>
  <c r="J86" i="14"/>
  <c r="I76" i="14"/>
  <c r="I80" i="14" s="1"/>
  <c r="J77" i="14"/>
  <c r="J190" i="8"/>
  <c r="I106" i="14"/>
  <c r="I115" i="14"/>
  <c r="I126" i="14"/>
  <c r="I101" i="14"/>
  <c r="I114" i="14"/>
  <c r="I135" i="14"/>
  <c r="I140" i="14"/>
  <c r="J172" i="14"/>
  <c r="J108" i="14" s="1"/>
  <c r="J112" i="14" s="1"/>
  <c r="F137" i="15"/>
  <c r="F124" i="15"/>
  <c r="F101" i="15"/>
  <c r="F140" i="15"/>
  <c r="F107" i="15"/>
  <c r="F116" i="15"/>
  <c r="F172" i="15"/>
  <c r="F108" i="15" s="1"/>
  <c r="F112" i="15" s="1"/>
  <c r="I79" i="14"/>
  <c r="I18" i="14"/>
  <c r="I30" i="14" s="1"/>
  <c r="I124" i="14"/>
  <c r="J18" i="14"/>
  <c r="J30" i="14" s="1"/>
  <c r="F125" i="15"/>
  <c r="I132" i="14"/>
  <c r="N36" i="14"/>
  <c r="J36" i="14"/>
  <c r="F36" i="15"/>
  <c r="N106" i="14"/>
  <c r="G86" i="15"/>
  <c r="G91" i="15" s="1"/>
  <c r="J99" i="14"/>
  <c r="J97" i="14"/>
  <c r="J118" i="14"/>
  <c r="F103" i="15"/>
  <c r="F96" i="15"/>
  <c r="F105" i="15" s="1"/>
  <c r="F118" i="15"/>
  <c r="I121" i="14"/>
  <c r="I100" i="14"/>
  <c r="G76" i="15"/>
  <c r="I195" i="14"/>
  <c r="I174" i="14"/>
  <c r="O171" i="14"/>
  <c r="N198" i="14"/>
  <c r="N201" i="14"/>
  <c r="J189" i="14"/>
  <c r="J198" i="14"/>
  <c r="F281" i="15"/>
  <c r="F409" i="15" s="1"/>
  <c r="F273" i="15"/>
  <c r="F210" i="15"/>
  <c r="F338" i="15" s="1"/>
  <c r="P282" i="15"/>
  <c r="F283" i="15"/>
  <c r="F411" i="15" s="1"/>
  <c r="I209" i="14"/>
  <c r="F291" i="15"/>
  <c r="F419" i="15" s="1"/>
  <c r="F279" i="15"/>
  <c r="F407" i="15" s="1"/>
  <c r="J170" i="14"/>
  <c r="F289" i="15"/>
  <c r="F417" i="15" s="1"/>
  <c r="F24" i="15"/>
  <c r="F23" i="15" s="1"/>
  <c r="F25" i="15" s="1"/>
  <c r="F292" i="15"/>
  <c r="F420" i="15" s="1"/>
  <c r="F148" i="14"/>
  <c r="F121" i="14"/>
  <c r="F104" i="14"/>
  <c r="F100" i="14"/>
  <c r="F96" i="14"/>
  <c r="F105" i="14" s="1"/>
  <c r="F98" i="14"/>
  <c r="F76" i="14"/>
  <c r="F80" i="14" s="1"/>
  <c r="G77" i="14"/>
  <c r="G86" i="14"/>
  <c r="G91" i="14" s="1"/>
  <c r="F93" i="14"/>
  <c r="F124" i="14"/>
  <c r="F18" i="14"/>
  <c r="F30" i="14" s="1"/>
  <c r="F17" i="14"/>
  <c r="F130" i="14"/>
  <c r="F147" i="14" s="1"/>
  <c r="F144" i="14"/>
  <c r="F137" i="14"/>
  <c r="F119" i="14"/>
  <c r="F107" i="14"/>
  <c r="F83" i="14"/>
  <c r="F81" i="14"/>
  <c r="F84" i="14" s="1"/>
  <c r="F172" i="14"/>
  <c r="F108" i="14" s="1"/>
  <c r="F112" i="14" s="1"/>
  <c r="F140" i="14"/>
  <c r="F132" i="14"/>
  <c r="F115" i="14"/>
  <c r="F78" i="14"/>
  <c r="F135" i="14"/>
  <c r="F138" i="14"/>
  <c r="F114" i="14"/>
  <c r="F24" i="14"/>
  <c r="F23" i="14" s="1"/>
  <c r="F25" i="14" s="1"/>
  <c r="F170" i="14"/>
  <c r="F171" i="14"/>
  <c r="F209" i="14"/>
  <c r="F337" i="14" s="1"/>
  <c r="F201" i="14"/>
  <c r="F329" i="14" s="1"/>
  <c r="F195" i="14"/>
  <c r="F323" i="14" s="1"/>
  <c r="F64" i="14" s="1"/>
  <c r="F189" i="14"/>
  <c r="G284" i="15"/>
  <c r="G412" i="15" s="1"/>
  <c r="G276" i="15"/>
  <c r="G404" i="15" s="1"/>
  <c r="G282" i="15"/>
  <c r="G410" i="15" s="1"/>
  <c r="G171" i="15"/>
  <c r="I93" i="15"/>
  <c r="I96" i="15"/>
  <c r="I105" i="15" s="1"/>
  <c r="I131" i="15"/>
  <c r="I115" i="15"/>
  <c r="I83" i="15"/>
  <c r="I86" i="15"/>
  <c r="I132" i="15"/>
  <c r="I288" i="15"/>
  <c r="I416" i="15" s="1"/>
  <c r="I287" i="15"/>
  <c r="I415" i="15" s="1"/>
  <c r="I211" i="15"/>
  <c r="I339" i="15" s="1"/>
  <c r="I208" i="15"/>
  <c r="I336" i="15" s="1"/>
  <c r="I277" i="15"/>
  <c r="I405" i="15" s="1"/>
  <c r="I289" i="15"/>
  <c r="I417" i="15" s="1"/>
  <c r="I273" i="15"/>
  <c r="I199" i="15"/>
  <c r="I327" i="15" s="1"/>
  <c r="I196" i="15"/>
  <c r="I324" i="15" s="1"/>
  <c r="I64" i="15" s="1"/>
  <c r="I190" i="15"/>
  <c r="I158" i="8"/>
  <c r="I154" i="8"/>
  <c r="I150" i="8"/>
  <c r="I143" i="8"/>
  <c r="I137" i="8"/>
  <c r="I132" i="8"/>
  <c r="I127" i="8"/>
  <c r="I123" i="8"/>
  <c r="I118" i="8"/>
  <c r="I114" i="8"/>
  <c r="I78" i="8"/>
  <c r="J286" i="15"/>
  <c r="J414" i="15" s="1"/>
  <c r="J291" i="15"/>
  <c r="J419" i="15" s="1"/>
  <c r="J288" i="15"/>
  <c r="J416" i="15" s="1"/>
  <c r="J190" i="15"/>
  <c r="J193" i="15"/>
  <c r="J321" i="15" s="1"/>
  <c r="J63" i="15" s="1"/>
  <c r="J66" i="15" s="1"/>
  <c r="J196" i="15"/>
  <c r="J324" i="15" s="1"/>
  <c r="J64" i="15" s="1"/>
  <c r="J199" i="15"/>
  <c r="J327" i="15" s="1"/>
  <c r="J202" i="15"/>
  <c r="J330" i="15" s="1"/>
  <c r="J205" i="15"/>
  <c r="J333" i="15" s="1"/>
  <c r="J273" i="15"/>
  <c r="J277" i="15"/>
  <c r="J405" i="15" s="1"/>
  <c r="J281" i="15"/>
  <c r="J409" i="15" s="1"/>
  <c r="J285" i="15"/>
  <c r="J413" i="15" s="1"/>
  <c r="J289" i="15"/>
  <c r="J417" i="15" s="1"/>
  <c r="J208" i="15"/>
  <c r="J336" i="15" s="1"/>
  <c r="I15" i="8"/>
  <c r="J24" i="8"/>
  <c r="J23" i="8" s="1"/>
  <c r="J25" i="8" s="1"/>
  <c r="L282" i="15"/>
  <c r="L410" i="15" s="1"/>
  <c r="L274" i="15"/>
  <c r="L402" i="15" s="1"/>
  <c r="L171" i="14"/>
  <c r="M148" i="14"/>
  <c r="M104" i="14"/>
  <c r="M102" i="14"/>
  <c r="M99" i="14"/>
  <c r="M118" i="14"/>
  <c r="M96" i="14"/>
  <c r="M105" i="14" s="1"/>
  <c r="M36" i="14"/>
  <c r="M172" i="14"/>
  <c r="M108" i="14" s="1"/>
  <c r="M112" i="14" s="1"/>
  <c r="M106" i="14"/>
  <c r="M133" i="14"/>
  <c r="M107" i="14"/>
  <c r="M135" i="14"/>
  <c r="M142" i="14"/>
  <c r="M120" i="14"/>
  <c r="M141" i="14"/>
  <c r="M126" i="14"/>
  <c r="M131" i="14"/>
  <c r="M113" i="14"/>
  <c r="M123" i="14" s="1"/>
  <c r="M134" i="14"/>
  <c r="M101" i="14"/>
  <c r="M116" i="14"/>
  <c r="M209" i="14"/>
  <c r="M171" i="14"/>
  <c r="M174" i="14"/>
  <c r="M192" i="14"/>
  <c r="M195" i="14"/>
  <c r="M24" i="14"/>
  <c r="M23" i="14" s="1"/>
  <c r="M25" i="14" s="1"/>
  <c r="O211" i="15"/>
  <c r="O291" i="15"/>
  <c r="O190" i="15"/>
  <c r="O199" i="15"/>
  <c r="O202" i="15"/>
  <c r="O24" i="15"/>
  <c r="Q96" i="15"/>
  <c r="Q105" i="15" s="1"/>
  <c r="Q116" i="15"/>
  <c r="Q285" i="15"/>
  <c r="Q277" i="15"/>
  <c r="Q288" i="15"/>
  <c r="Q210" i="15"/>
  <c r="Q286" i="15"/>
  <c r="Q291" i="15"/>
  <c r="Q199" i="15"/>
  <c r="Q287" i="15"/>
  <c r="Q190" i="15"/>
  <c r="Q313" i="15" s="1"/>
  <c r="Q24" i="15"/>
  <c r="J246" i="8"/>
  <c r="J218" i="8"/>
  <c r="I230" i="8"/>
  <c r="I231" i="8"/>
  <c r="I233" i="8"/>
  <c r="I361" i="8" s="1"/>
  <c r="I209" i="8"/>
  <c r="I215" i="8"/>
  <c r="I343" i="8" s="1"/>
  <c r="I221" i="8"/>
  <c r="I349" i="8" s="1"/>
  <c r="I311" i="8"/>
  <c r="I234" i="8"/>
  <c r="I362" i="8" s="1"/>
  <c r="I206" i="8"/>
  <c r="I218" i="8"/>
  <c r="I346" i="8" s="1"/>
  <c r="I190" i="8"/>
  <c r="I187" i="8"/>
  <c r="F250" i="8"/>
  <c r="F378" i="8" s="1"/>
  <c r="F252" i="8"/>
  <c r="F380" i="8" s="1"/>
  <c r="F254" i="8"/>
  <c r="F382" i="8" s="1"/>
  <c r="F240" i="8"/>
  <c r="F368" i="8" s="1"/>
  <c r="F242" i="8"/>
  <c r="F370" i="8" s="1"/>
  <c r="F244" i="8"/>
  <c r="F372" i="8" s="1"/>
  <c r="F230" i="8"/>
  <c r="F232" i="8"/>
  <c r="F360" i="8" s="1"/>
  <c r="F206" i="8"/>
  <c r="F212" i="8"/>
  <c r="F340" i="8" s="1"/>
  <c r="F64" i="8" s="1"/>
  <c r="F218" i="8"/>
  <c r="F346" i="8" s="1"/>
  <c r="F234" i="8"/>
  <c r="F362" i="8" s="1"/>
  <c r="G250" i="8"/>
  <c r="G378" i="8" s="1"/>
  <c r="G252" i="8"/>
  <c r="G380" i="8" s="1"/>
  <c r="G254" i="8"/>
  <c r="G382" i="8" s="1"/>
  <c r="G240" i="8"/>
  <c r="G368" i="8" s="1"/>
  <c r="G242" i="8"/>
  <c r="G370" i="8" s="1"/>
  <c r="G244" i="8"/>
  <c r="G372" i="8" s="1"/>
  <c r="G230" i="8"/>
  <c r="G232" i="8"/>
  <c r="G360" i="8" s="1"/>
  <c r="G206" i="8"/>
  <c r="G212" i="8"/>
  <c r="G340" i="8" s="1"/>
  <c r="G64" i="8" s="1"/>
  <c r="G218" i="8"/>
  <c r="G346" i="8" s="1"/>
  <c r="G234" i="8"/>
  <c r="G362" i="8" s="1"/>
  <c r="G186" i="8"/>
  <c r="H250" i="8"/>
  <c r="H378" i="8" s="1"/>
  <c r="H252" i="8"/>
  <c r="H380" i="8" s="1"/>
  <c r="H254" i="8"/>
  <c r="H382" i="8" s="1"/>
  <c r="H240" i="8"/>
  <c r="H368" i="8" s="1"/>
  <c r="H242" i="8"/>
  <c r="H370" i="8" s="1"/>
  <c r="H244" i="8"/>
  <c r="H372" i="8" s="1"/>
  <c r="H230" i="8"/>
  <c r="H232" i="8"/>
  <c r="H360" i="8" s="1"/>
  <c r="H206" i="8"/>
  <c r="H212" i="8"/>
  <c r="H340" i="8" s="1"/>
  <c r="H64" i="8" s="1"/>
  <c r="H218" i="8"/>
  <c r="H346" i="8" s="1"/>
  <c r="H234" i="8"/>
  <c r="H362" i="8" s="1"/>
  <c r="H186" i="8"/>
  <c r="I245" i="8"/>
  <c r="I373" i="8" s="1"/>
  <c r="I247" i="8"/>
  <c r="I375" i="8" s="1"/>
  <c r="I249" i="8"/>
  <c r="I377" i="8" s="1"/>
  <c r="K246" i="8"/>
  <c r="K248" i="8"/>
  <c r="P311" i="8"/>
  <c r="P212" i="8"/>
  <c r="P218" i="8"/>
  <c r="P209" i="8"/>
  <c r="P221" i="8"/>
  <c r="P186" i="8"/>
  <c r="P206" i="8"/>
  <c r="M245" i="8"/>
  <c r="M246" i="8"/>
  <c r="M206" i="8"/>
  <c r="M212" i="8"/>
  <c r="M218" i="8"/>
  <c r="M311" i="8"/>
  <c r="Q206" i="8"/>
  <c r="Q212" i="8"/>
  <c r="Q218" i="8"/>
  <c r="N230" i="8"/>
  <c r="N231" i="8"/>
  <c r="N311" i="8"/>
  <c r="N212" i="8"/>
  <c r="N218" i="8"/>
  <c r="BW166" i="12"/>
  <c r="J21" i="21" s="1"/>
  <c r="F22" i="4"/>
  <c r="F23" i="4" s="1"/>
  <c r="AE166" i="12"/>
  <c r="E18" i="21" s="1"/>
  <c r="G182" i="30"/>
  <c r="F182" i="30"/>
  <c r="AD164" i="12"/>
  <c r="E180" i="27"/>
  <c r="E182" i="28"/>
  <c r="E113" i="28" s="1"/>
  <c r="D19" i="21"/>
  <c r="K15" i="29"/>
  <c r="L15" i="29" s="1"/>
  <c r="M15" i="29" s="1"/>
  <c r="N15" i="29" s="1"/>
  <c r="O15" i="29" s="1"/>
  <c r="P15" i="29" s="1"/>
  <c r="M16" i="30"/>
  <c r="N16" i="30" s="1"/>
  <c r="O16" i="30" s="1"/>
  <c r="P16" i="30" s="1"/>
  <c r="L15" i="30"/>
  <c r="J13" i="30"/>
  <c r="J14" i="29"/>
  <c r="K14" i="29" s="1"/>
  <c r="L14" i="29" s="1"/>
  <c r="M14" i="29" s="1"/>
  <c r="N14" i="29" s="1"/>
  <c r="O14" i="29" s="1"/>
  <c r="P14" i="29" s="1"/>
  <c r="L172" i="15"/>
  <c r="L108" i="15" s="1"/>
  <c r="L112" i="15" s="1"/>
  <c r="L106" i="15"/>
  <c r="L131" i="15"/>
  <c r="L83" i="15"/>
  <c r="P78" i="15"/>
  <c r="P98" i="15"/>
  <c r="L104" i="15"/>
  <c r="P136" i="15"/>
  <c r="P137" i="15"/>
  <c r="P93" i="15"/>
  <c r="L78" i="15"/>
  <c r="L102" i="15"/>
  <c r="L51" i="15"/>
  <c r="L52" i="15" s="1"/>
  <c r="P107" i="15"/>
  <c r="P82" i="15"/>
  <c r="P134" i="15"/>
  <c r="P97" i="15"/>
  <c r="P104" i="15"/>
  <c r="P17" i="15"/>
  <c r="L114" i="15"/>
  <c r="L113" i="15"/>
  <c r="L123" i="15" s="1"/>
  <c r="L144" i="15"/>
  <c r="L119" i="15"/>
  <c r="Q132" i="15"/>
  <c r="Q118" i="15"/>
  <c r="O81" i="15"/>
  <c r="O84" i="15" s="1"/>
  <c r="O96" i="15"/>
  <c r="O105" i="15" s="1"/>
  <c r="O15" i="15"/>
  <c r="N83" i="15"/>
  <c r="N133" i="15"/>
  <c r="N107" i="15"/>
  <c r="N125" i="15"/>
  <c r="N103" i="15"/>
  <c r="M83" i="15"/>
  <c r="M135" i="15"/>
  <c r="M131" i="15"/>
  <c r="M100" i="15"/>
  <c r="N51" i="15"/>
  <c r="N52" i="15" s="1"/>
  <c r="Q51" i="15"/>
  <c r="Q52" i="15" s="1"/>
  <c r="Q113" i="15"/>
  <c r="Q123" i="15" s="1"/>
  <c r="Q136" i="15"/>
  <c r="Q125" i="15"/>
  <c r="Q130" i="15"/>
  <c r="Q147" i="15" s="1"/>
  <c r="Q103" i="15"/>
  <c r="O135" i="15"/>
  <c r="O134" i="15"/>
  <c r="N144" i="15"/>
  <c r="N136" i="15"/>
  <c r="N114" i="15"/>
  <c r="N79" i="15"/>
  <c r="N113" i="15"/>
  <c r="N123" i="15" s="1"/>
  <c r="N137" i="15"/>
  <c r="N115" i="15"/>
  <c r="M141" i="15"/>
  <c r="M124" i="15"/>
  <c r="M115" i="15"/>
  <c r="M126" i="15"/>
  <c r="M99" i="15"/>
  <c r="M15" i="15"/>
  <c r="N148" i="15"/>
  <c r="N36" i="15"/>
  <c r="N15" i="15"/>
  <c r="N35" i="15" s="1"/>
  <c r="N119" i="15"/>
  <c r="N99" i="15"/>
  <c r="N121" i="15"/>
  <c r="N96" i="15"/>
  <c r="N105" i="15" s="1"/>
  <c r="N120" i="15"/>
  <c r="N104" i="15"/>
  <c r="N81" i="15"/>
  <c r="N84" i="15" s="1"/>
  <c r="N78" i="15"/>
  <c r="O36" i="15"/>
  <c r="O106" i="15"/>
  <c r="R166" i="12"/>
  <c r="O51" i="15"/>
  <c r="O52" i="15" s="1"/>
  <c r="Q135" i="15"/>
  <c r="Q78" i="15"/>
  <c r="Q83" i="15"/>
  <c r="Q93" i="15"/>
  <c r="Q144" i="15"/>
  <c r="Q138" i="15"/>
  <c r="Q126" i="15"/>
  <c r="Q81" i="15"/>
  <c r="Q84" i="15" s="1"/>
  <c r="Q120" i="15"/>
  <c r="Q121" i="15"/>
  <c r="O140" i="15"/>
  <c r="O79" i="15"/>
  <c r="O132" i="15"/>
  <c r="O120" i="15"/>
  <c r="N82" i="15"/>
  <c r="N126" i="15"/>
  <c r="N132" i="15"/>
  <c r="N142" i="15"/>
  <c r="N135" i="15"/>
  <c r="N140" i="15"/>
  <c r="N131" i="15"/>
  <c r="N138" i="15"/>
  <c r="N141" i="15"/>
  <c r="N124" i="15"/>
  <c r="N93" i="15"/>
  <c r="N116" i="15"/>
  <c r="N122" i="15"/>
  <c r="N98" i="15"/>
  <c r="N118" i="15"/>
  <c r="N100" i="15"/>
  <c r="N17" i="15"/>
  <c r="N18" i="15"/>
  <c r="N30" i="15" s="1"/>
  <c r="N106" i="15"/>
  <c r="L120" i="15"/>
  <c r="L96" i="15"/>
  <c r="L105" i="15" s="1"/>
  <c r="L121" i="15"/>
  <c r="L125" i="15"/>
  <c r="L122" i="15"/>
  <c r="L79" i="15"/>
  <c r="L116" i="15"/>
  <c r="L141" i="15"/>
  <c r="L82" i="15"/>
  <c r="L133" i="15"/>
  <c r="F15" i="4"/>
  <c r="A1" i="15"/>
  <c r="M51" i="15"/>
  <c r="M52" i="15" s="1"/>
  <c r="P51" i="15"/>
  <c r="P52" i="15" s="1"/>
  <c r="P144" i="15"/>
  <c r="P114" i="15"/>
  <c r="P126" i="15"/>
  <c r="P133" i="15"/>
  <c r="P116" i="15"/>
  <c r="P141" i="15"/>
  <c r="P119" i="15"/>
  <c r="P96" i="15"/>
  <c r="P105" i="15" s="1"/>
  <c r="M130" i="15"/>
  <c r="M147" i="15" s="1"/>
  <c r="M116" i="15"/>
  <c r="M78" i="15"/>
  <c r="M142" i="15"/>
  <c r="M132" i="15"/>
  <c r="M133" i="15"/>
  <c r="M136" i="15"/>
  <c r="M120" i="15"/>
  <c r="M102" i="15"/>
  <c r="M97" i="15"/>
  <c r="M17" i="15"/>
  <c r="M18" i="15"/>
  <c r="M30" i="15" s="1"/>
  <c r="O148" i="15"/>
  <c r="O18" i="15"/>
  <c r="O30" i="15" s="1"/>
  <c r="O100" i="15"/>
  <c r="O97" i="15"/>
  <c r="O99" i="15"/>
  <c r="O121" i="15"/>
  <c r="O98" i="15"/>
  <c r="O102" i="15"/>
  <c r="O122" i="15"/>
  <c r="O115" i="15"/>
  <c r="O136" i="15"/>
  <c r="O138" i="15"/>
  <c r="O141" i="15"/>
  <c r="O125" i="15"/>
  <c r="O101" i="15"/>
  <c r="O137" i="15"/>
  <c r="O144" i="15"/>
  <c r="O93" i="15"/>
  <c r="O82" i="15"/>
  <c r="O133" i="15"/>
  <c r="O107" i="15"/>
  <c r="O78" i="15"/>
  <c r="O131" i="15"/>
  <c r="P148" i="15"/>
  <c r="P36" i="15"/>
  <c r="P172" i="15"/>
  <c r="P108" i="15" s="1"/>
  <c r="P112" i="15" s="1"/>
  <c r="P15" i="15"/>
  <c r="Q148" i="15"/>
  <c r="Q106" i="15"/>
  <c r="Q18" i="15"/>
  <c r="Q30" i="15" s="1"/>
  <c r="Q17" i="15"/>
  <c r="Q82" i="15"/>
  <c r="Q124" i="15"/>
  <c r="Q115" i="15"/>
  <c r="Q140" i="15"/>
  <c r="Q134" i="15"/>
  <c r="Q133" i="15"/>
  <c r="Q101" i="15"/>
  <c r="Q107" i="15"/>
  <c r="Q141" i="15"/>
  <c r="Q137" i="15"/>
  <c r="Q114" i="15"/>
  <c r="Q142" i="15"/>
  <c r="Q79" i="15"/>
  <c r="Q131" i="15"/>
  <c r="Q102" i="15"/>
  <c r="Q98" i="15"/>
  <c r="Q119" i="15"/>
  <c r="Q99" i="15"/>
  <c r="Q97" i="15"/>
  <c r="Q100" i="15"/>
  <c r="Q15" i="15"/>
  <c r="P138" i="15"/>
  <c r="P124" i="15"/>
  <c r="P122" i="15"/>
  <c r="P131" i="15"/>
  <c r="P142" i="15"/>
  <c r="P132" i="15"/>
  <c r="P130" i="15"/>
  <c r="P147" i="15" s="1"/>
  <c r="P79" i="15"/>
  <c r="P113" i="15"/>
  <c r="P123" i="15" s="1"/>
  <c r="P81" i="15"/>
  <c r="P84" i="15" s="1"/>
  <c r="P115" i="15"/>
  <c r="P135" i="15"/>
  <c r="P101" i="15"/>
  <c r="P140" i="15"/>
  <c r="P83" i="15"/>
  <c r="P125" i="15"/>
  <c r="P100" i="15"/>
  <c r="P120" i="15"/>
  <c r="P102" i="15"/>
  <c r="P121" i="15"/>
  <c r="P103" i="15"/>
  <c r="P99" i="15"/>
  <c r="O126" i="15"/>
  <c r="O124" i="15"/>
  <c r="O114" i="15"/>
  <c r="O130" i="15"/>
  <c r="O147" i="15" s="1"/>
  <c r="O142" i="15"/>
  <c r="O113" i="15"/>
  <c r="O123" i="15" s="1"/>
  <c r="O103" i="15"/>
  <c r="O104" i="15"/>
  <c r="O118" i="15"/>
  <c r="O17" i="15"/>
  <c r="P18" i="15"/>
  <c r="P30" i="15" s="1"/>
  <c r="O172" i="15"/>
  <c r="O108" i="15" s="1"/>
  <c r="O112" i="15" s="1"/>
  <c r="Q172" i="15"/>
  <c r="Q108" i="15" s="1"/>
  <c r="Q112" i="15" s="1"/>
  <c r="P106" i="15"/>
  <c r="Q36" i="15"/>
  <c r="L148" i="15"/>
  <c r="L36" i="15"/>
  <c r="L18" i="15"/>
  <c r="L30" i="15" s="1"/>
  <c r="L15" i="15"/>
  <c r="L97" i="15"/>
  <c r="L98" i="15"/>
  <c r="L100" i="15"/>
  <c r="L118" i="15"/>
  <c r="L99" i="15"/>
  <c r="L103" i="15"/>
  <c r="L93" i="15"/>
  <c r="L132" i="15"/>
  <c r="L136" i="15"/>
  <c r="L138" i="15"/>
  <c r="L81" i="15"/>
  <c r="L84" i="15" s="1"/>
  <c r="L107" i="15"/>
  <c r="L142" i="15"/>
  <c r="L140" i="15"/>
  <c r="L101" i="15"/>
  <c r="L134" i="15"/>
  <c r="L124" i="15"/>
  <c r="L135" i="15"/>
  <c r="L137" i="15"/>
  <c r="L126" i="15"/>
  <c r="L130" i="15"/>
  <c r="L147" i="15" s="1"/>
  <c r="L115" i="15"/>
  <c r="M148" i="15"/>
  <c r="M172" i="15"/>
  <c r="M108" i="15" s="1"/>
  <c r="M112" i="15" s="1"/>
  <c r="M36" i="15"/>
  <c r="M119" i="15"/>
  <c r="M96" i="15"/>
  <c r="M105" i="15" s="1"/>
  <c r="M104" i="15"/>
  <c r="M121" i="15"/>
  <c r="M118" i="15"/>
  <c r="M98" i="15"/>
  <c r="M93" i="15"/>
  <c r="M81" i="15"/>
  <c r="M84" i="15" s="1"/>
  <c r="M101" i="15"/>
  <c r="M122" i="15"/>
  <c r="M79" i="15"/>
  <c r="M113" i="15"/>
  <c r="M123" i="15" s="1"/>
  <c r="M138" i="15"/>
  <c r="M137" i="15"/>
  <c r="M125" i="15"/>
  <c r="M107" i="15"/>
  <c r="M144" i="15"/>
  <c r="M82" i="15"/>
  <c r="M140" i="15"/>
  <c r="M114" i="15"/>
  <c r="M134" i="15"/>
  <c r="E49" i="32" l="1"/>
  <c r="E67" i="32" s="1"/>
  <c r="F113" i="29"/>
  <c r="H113" i="30"/>
  <c r="G113" i="30"/>
  <c r="F113" i="30"/>
  <c r="G11" i="28"/>
  <c r="I199" i="27"/>
  <c r="I200" i="27" s="1"/>
  <c r="I28" i="4"/>
  <c r="G11" i="27"/>
  <c r="I197" i="32"/>
  <c r="I199" i="26"/>
  <c r="I200" i="26" s="1"/>
  <c r="I17" i="4"/>
  <c r="E118" i="32"/>
  <c r="AD98" i="33" s="1"/>
  <c r="E46" i="32"/>
  <c r="E64" i="32" s="1"/>
  <c r="K135" i="15"/>
  <c r="O116" i="15"/>
  <c r="K107" i="15"/>
  <c r="K102" i="15"/>
  <c r="K15" i="15"/>
  <c r="K38" i="15" s="1"/>
  <c r="K141" i="15"/>
  <c r="K83" i="15"/>
  <c r="L77" i="15"/>
  <c r="P77" i="15" s="1"/>
  <c r="K125" i="15"/>
  <c r="E137" i="29"/>
  <c r="BD117" i="12" s="1"/>
  <c r="G45" i="30"/>
  <c r="I45" i="30"/>
  <c r="H45" i="30"/>
  <c r="F42" i="30"/>
  <c r="F44" i="30" s="1"/>
  <c r="F48" i="30"/>
  <c r="F50" i="30" s="1"/>
  <c r="F45" i="30"/>
  <c r="F47" i="30" s="1"/>
  <c r="E120" i="28"/>
  <c r="E136" i="28"/>
  <c r="AQ116" i="12" s="1"/>
  <c r="E42" i="28"/>
  <c r="E44" i="28" s="1"/>
  <c r="E48" i="28"/>
  <c r="E137" i="28"/>
  <c r="AQ117" i="12" s="1"/>
  <c r="E45" i="28"/>
  <c r="E42" i="30"/>
  <c r="E44" i="30" s="1"/>
  <c r="E48" i="30"/>
  <c r="E45" i="30"/>
  <c r="G45" i="29"/>
  <c r="E45" i="29"/>
  <c r="E48" i="29"/>
  <c r="E17" i="29"/>
  <c r="E136" i="29"/>
  <c r="E42" i="29"/>
  <c r="E44" i="29" s="1"/>
  <c r="F45" i="29"/>
  <c r="F136" i="29"/>
  <c r="BE116" i="12" s="1"/>
  <c r="F137" i="29"/>
  <c r="BE117" i="12" s="1"/>
  <c r="H66" i="15"/>
  <c r="H69" i="15" s="1"/>
  <c r="E102" i="30"/>
  <c r="E140" i="30"/>
  <c r="E97" i="30"/>
  <c r="E158" i="30"/>
  <c r="E134" i="30"/>
  <c r="E121" i="30"/>
  <c r="E137" i="30"/>
  <c r="BQ117" i="12" s="1"/>
  <c r="E136" i="30"/>
  <c r="BQ116" i="12" s="1"/>
  <c r="E157" i="30"/>
  <c r="E109" i="30"/>
  <c r="E98" i="30"/>
  <c r="E106" i="30"/>
  <c r="E111" i="30"/>
  <c r="G85" i="29"/>
  <c r="E102" i="29"/>
  <c r="E121" i="29"/>
  <c r="BD101" i="12" s="1"/>
  <c r="E134" i="29"/>
  <c r="E85" i="29"/>
  <c r="F85" i="29"/>
  <c r="E102" i="28"/>
  <c r="E121" i="28"/>
  <c r="AQ101" i="12" s="1"/>
  <c r="E134" i="28"/>
  <c r="F209" i="26"/>
  <c r="F125" i="32"/>
  <c r="F28" i="32" s="1"/>
  <c r="F82" i="32"/>
  <c r="AE63" i="33" s="1"/>
  <c r="G137" i="30"/>
  <c r="BS117" i="12" s="1"/>
  <c r="G136" i="30"/>
  <c r="I161" i="30"/>
  <c r="I164" i="30" s="1"/>
  <c r="H137" i="30"/>
  <c r="H136" i="30"/>
  <c r="BT116" i="12" s="1"/>
  <c r="F137" i="30"/>
  <c r="BR117" i="12" s="1"/>
  <c r="F136" i="30"/>
  <c r="BR116" i="12" s="1"/>
  <c r="G8" i="11"/>
  <c r="G24" i="34"/>
  <c r="H19" i="11"/>
  <c r="F131" i="15"/>
  <c r="F82" i="15"/>
  <c r="F51" i="15"/>
  <c r="F52" i="15" s="1"/>
  <c r="F130" i="15"/>
  <c r="F147" i="15" s="1"/>
  <c r="F135" i="15"/>
  <c r="F18" i="15"/>
  <c r="F30" i="15" s="1"/>
  <c r="F121" i="15"/>
  <c r="F76" i="15"/>
  <c r="F80" i="15" s="1"/>
  <c r="E82" i="30"/>
  <c r="E103" i="30"/>
  <c r="E112" i="30"/>
  <c r="E110" i="30"/>
  <c r="BQ90" i="12" s="1"/>
  <c r="E87" i="30"/>
  <c r="BQ68" i="12" s="1"/>
  <c r="E170" i="30"/>
  <c r="E168" i="30"/>
  <c r="E171" i="30"/>
  <c r="E169" i="30"/>
  <c r="E172" i="30"/>
  <c r="E152" i="30"/>
  <c r="E155" i="30"/>
  <c r="E150" i="30"/>
  <c r="E153" i="30"/>
  <c r="E156" i="30"/>
  <c r="E159" i="30"/>
  <c r="E151" i="30"/>
  <c r="E149" i="30"/>
  <c r="E139" i="30"/>
  <c r="E130" i="30"/>
  <c r="E154" i="30"/>
  <c r="E128" i="30"/>
  <c r="E129" i="30"/>
  <c r="E132" i="30"/>
  <c r="E131" i="30"/>
  <c r="E127" i="30"/>
  <c r="E124" i="30"/>
  <c r="BQ104" i="12" s="1"/>
  <c r="E123" i="30"/>
  <c r="E122" i="30"/>
  <c r="E93" i="30"/>
  <c r="E51" i="30"/>
  <c r="E91" i="30"/>
  <c r="E120" i="30"/>
  <c r="E99" i="30"/>
  <c r="E85" i="30"/>
  <c r="E104" i="30"/>
  <c r="E107" i="30"/>
  <c r="E80" i="30"/>
  <c r="E100" i="30"/>
  <c r="E79" i="30"/>
  <c r="E54" i="30"/>
  <c r="E105" i="30"/>
  <c r="E53" i="30"/>
  <c r="E52" i="30"/>
  <c r="E94" i="30"/>
  <c r="E125" i="30"/>
  <c r="E28" i="30" s="1"/>
  <c r="H82" i="30"/>
  <c r="H111" i="30"/>
  <c r="H110" i="30"/>
  <c r="BT90" i="12" s="1"/>
  <c r="H112" i="30"/>
  <c r="H103" i="30"/>
  <c r="H115" i="30"/>
  <c r="BT95" i="12" s="1"/>
  <c r="H166" i="30"/>
  <c r="H116" i="30"/>
  <c r="BT96" i="12" s="1"/>
  <c r="H169" i="30"/>
  <c r="H117" i="30"/>
  <c r="H172" i="30"/>
  <c r="H167" i="30"/>
  <c r="H170" i="30"/>
  <c r="H165" i="30"/>
  <c r="BT145" i="12" s="1"/>
  <c r="H171" i="30"/>
  <c r="H150" i="30"/>
  <c r="H158" i="30"/>
  <c r="H153" i="30"/>
  <c r="H164" i="30"/>
  <c r="H151" i="30"/>
  <c r="H159" i="30"/>
  <c r="H168" i="30"/>
  <c r="H154" i="30"/>
  <c r="H149" i="30"/>
  <c r="H156" i="30"/>
  <c r="H155" i="30"/>
  <c r="H134" i="30"/>
  <c r="H141" i="30"/>
  <c r="H152" i="30"/>
  <c r="H144" i="30"/>
  <c r="H146" i="30"/>
  <c r="BT126" i="12" s="1"/>
  <c r="H128" i="30"/>
  <c r="H135" i="30"/>
  <c r="BT115" i="12" s="1"/>
  <c r="H142" i="30"/>
  <c r="H157" i="30"/>
  <c r="H147" i="30"/>
  <c r="H129" i="30"/>
  <c r="H143" i="30"/>
  <c r="BT123" i="12" s="1"/>
  <c r="H132" i="30"/>
  <c r="H127" i="30"/>
  <c r="H130" i="30"/>
  <c r="H131" i="30"/>
  <c r="H122" i="30"/>
  <c r="H125" i="30"/>
  <c r="H28" i="30" s="1"/>
  <c r="H120" i="30"/>
  <c r="H123" i="30"/>
  <c r="H121" i="30"/>
  <c r="H124" i="30"/>
  <c r="H119" i="30"/>
  <c r="BT99" i="12" s="1"/>
  <c r="H109" i="30"/>
  <c r="H97" i="30"/>
  <c r="H104" i="30"/>
  <c r="H100" i="30"/>
  <c r="H107" i="30"/>
  <c r="H90" i="30"/>
  <c r="H98" i="30"/>
  <c r="H105" i="30"/>
  <c r="BT93" i="12"/>
  <c r="H91" i="30"/>
  <c r="H102" i="30"/>
  <c r="H87" i="30"/>
  <c r="BT68" i="12" s="1"/>
  <c r="H79" i="30"/>
  <c r="H53" i="30"/>
  <c r="H85" i="30"/>
  <c r="H88" i="30"/>
  <c r="BT69" i="12" s="1"/>
  <c r="H106" i="30"/>
  <c r="H80" i="30"/>
  <c r="H54" i="30"/>
  <c r="H99" i="30"/>
  <c r="H89" i="30"/>
  <c r="BT70" i="12" s="1"/>
  <c r="H52" i="30"/>
  <c r="AD105" i="33"/>
  <c r="E80" i="28"/>
  <c r="F82" i="30"/>
  <c r="F111" i="30"/>
  <c r="F103" i="30"/>
  <c r="F112" i="30"/>
  <c r="BR92" i="12" s="1"/>
  <c r="F110" i="30"/>
  <c r="BR90" i="12" s="1"/>
  <c r="F117" i="30"/>
  <c r="F172" i="30"/>
  <c r="F167" i="30"/>
  <c r="BR147" i="12" s="1"/>
  <c r="F170" i="30"/>
  <c r="F116" i="30"/>
  <c r="BR96" i="12" s="1"/>
  <c r="F165" i="30"/>
  <c r="F168" i="30"/>
  <c r="F171" i="30"/>
  <c r="F115" i="30"/>
  <c r="F169" i="30"/>
  <c r="F153" i="30"/>
  <c r="F156" i="30"/>
  <c r="F166" i="30"/>
  <c r="BR146" i="12" s="1"/>
  <c r="F164" i="30"/>
  <c r="F151" i="30"/>
  <c r="F159" i="30"/>
  <c r="F149" i="30"/>
  <c r="F157" i="30"/>
  <c r="F152" i="30"/>
  <c r="F155" i="30"/>
  <c r="F158" i="30"/>
  <c r="F154" i="30"/>
  <c r="F150" i="30"/>
  <c r="F139" i="30"/>
  <c r="F146" i="30"/>
  <c r="F128" i="30"/>
  <c r="F135" i="30"/>
  <c r="BR115" i="12" s="1"/>
  <c r="F142" i="30"/>
  <c r="F140" i="30"/>
  <c r="F147" i="30"/>
  <c r="F143" i="30"/>
  <c r="BR123" i="12" s="1"/>
  <c r="F127" i="30"/>
  <c r="F134" i="30"/>
  <c r="F141" i="30"/>
  <c r="F130" i="30"/>
  <c r="F131" i="30"/>
  <c r="F144" i="30"/>
  <c r="BR124" i="12" s="1"/>
  <c r="F132" i="30"/>
  <c r="F129" i="30"/>
  <c r="F123" i="30"/>
  <c r="F121" i="30"/>
  <c r="F124" i="30"/>
  <c r="BR104" i="12" s="1"/>
  <c r="F119" i="30"/>
  <c r="BR99" i="12" s="1"/>
  <c r="F122" i="30"/>
  <c r="F94" i="30"/>
  <c r="F100" i="30"/>
  <c r="F107" i="30"/>
  <c r="F90" i="30"/>
  <c r="BR71" i="12" s="1"/>
  <c r="F98" i="30"/>
  <c r="F105" i="30"/>
  <c r="F120" i="30"/>
  <c r="F125" i="30"/>
  <c r="F28" i="30" s="1"/>
  <c r="F91" i="30"/>
  <c r="F102" i="30"/>
  <c r="F93" i="30"/>
  <c r="F99" i="30"/>
  <c r="F106" i="30"/>
  <c r="F109" i="30"/>
  <c r="F85" i="30"/>
  <c r="F104" i="30"/>
  <c r="F88" i="30"/>
  <c r="F51" i="30"/>
  <c r="F97" i="30"/>
  <c r="F80" i="30"/>
  <c r="F54" i="30"/>
  <c r="F86" i="30"/>
  <c r="BR67" i="12" s="1"/>
  <c r="F89" i="30"/>
  <c r="BR70" i="12" s="1"/>
  <c r="F52" i="30"/>
  <c r="F87" i="30"/>
  <c r="F79" i="30"/>
  <c r="F53" i="30"/>
  <c r="G103" i="30"/>
  <c r="G112" i="30"/>
  <c r="G110" i="30"/>
  <c r="G111" i="30"/>
  <c r="BS91" i="12" s="1"/>
  <c r="G82" i="30"/>
  <c r="G169" i="30"/>
  <c r="G172" i="30"/>
  <c r="G167" i="30"/>
  <c r="G170" i="30"/>
  <c r="G117" i="30"/>
  <c r="G165" i="30"/>
  <c r="G116" i="30"/>
  <c r="BS96" i="12" s="1"/>
  <c r="G168" i="30"/>
  <c r="G166" i="30"/>
  <c r="BS146" i="12" s="1"/>
  <c r="G150" i="30"/>
  <c r="G171" i="30"/>
  <c r="G153" i="30"/>
  <c r="G156" i="30"/>
  <c r="G154" i="30"/>
  <c r="G115" i="30"/>
  <c r="BS95" i="12" s="1"/>
  <c r="G149" i="30"/>
  <c r="G157" i="30"/>
  <c r="G151" i="30"/>
  <c r="G155" i="30"/>
  <c r="G159" i="30"/>
  <c r="G152" i="30"/>
  <c r="G158" i="30"/>
  <c r="G144" i="30"/>
  <c r="BS124" i="12" s="1"/>
  <c r="G139" i="30"/>
  <c r="G146" i="30"/>
  <c r="G148" i="30" s="1"/>
  <c r="G128" i="30"/>
  <c r="G135" i="30"/>
  <c r="G138" i="30" s="1"/>
  <c r="G142" i="30"/>
  <c r="BS122" i="12" s="1"/>
  <c r="G140" i="30"/>
  <c r="G147" i="30"/>
  <c r="G129" i="30"/>
  <c r="G143" i="30"/>
  <c r="BS123" i="12" s="1"/>
  <c r="G127" i="30"/>
  <c r="G134" i="30"/>
  <c r="G141" i="30"/>
  <c r="BS121" i="12" s="1"/>
  <c r="G130" i="30"/>
  <c r="G131" i="30"/>
  <c r="G132" i="30"/>
  <c r="G125" i="30"/>
  <c r="G28" i="30" s="1"/>
  <c r="G120" i="30"/>
  <c r="G123" i="30"/>
  <c r="G121" i="30"/>
  <c r="G124" i="30"/>
  <c r="BS104" i="12" s="1"/>
  <c r="G119" i="30"/>
  <c r="BS99" i="12" s="1"/>
  <c r="G122" i="30"/>
  <c r="G97" i="30"/>
  <c r="G104" i="30"/>
  <c r="G94" i="30"/>
  <c r="G100" i="30"/>
  <c r="G107" i="30"/>
  <c r="G90" i="30"/>
  <c r="BS71" i="12" s="1"/>
  <c r="G98" i="30"/>
  <c r="G105" i="30"/>
  <c r="G91" i="30"/>
  <c r="G102" i="30"/>
  <c r="G93" i="30"/>
  <c r="G99" i="30"/>
  <c r="G106" i="30"/>
  <c r="G108" i="30" s="1"/>
  <c r="G79" i="30"/>
  <c r="G53" i="30"/>
  <c r="G85" i="30"/>
  <c r="G109" i="30"/>
  <c r="G88" i="30"/>
  <c r="BS69" i="12" s="1"/>
  <c r="G80" i="30"/>
  <c r="G54" i="30"/>
  <c r="G86" i="30"/>
  <c r="BS67" i="12" s="1"/>
  <c r="G89" i="30"/>
  <c r="BS70" i="12" s="1"/>
  <c r="G52" i="30"/>
  <c r="G87" i="30"/>
  <c r="BS68" i="12" s="1"/>
  <c r="G82" i="29"/>
  <c r="G103" i="29"/>
  <c r="G116" i="29"/>
  <c r="BF96" i="12" s="1"/>
  <c r="G168" i="29"/>
  <c r="G171" i="29"/>
  <c r="G166" i="29"/>
  <c r="BF146" i="12" s="1"/>
  <c r="G169" i="29"/>
  <c r="G172" i="29"/>
  <c r="G167" i="29"/>
  <c r="BF147" i="12" s="1"/>
  <c r="G117" i="29"/>
  <c r="BF97" i="12" s="1"/>
  <c r="G165" i="29"/>
  <c r="BF145" i="12" s="1"/>
  <c r="G156" i="29"/>
  <c r="G151" i="29"/>
  <c r="G159" i="29"/>
  <c r="G154" i="29"/>
  <c r="G149" i="29"/>
  <c r="G157" i="29"/>
  <c r="G152" i="29"/>
  <c r="G155" i="29"/>
  <c r="G150" i="29"/>
  <c r="G158" i="29"/>
  <c r="G170" i="29"/>
  <c r="G134" i="29"/>
  <c r="G153" i="29"/>
  <c r="G120" i="29"/>
  <c r="G121" i="29"/>
  <c r="G123" i="29"/>
  <c r="G91" i="29"/>
  <c r="G109" i="29"/>
  <c r="G97" i="29"/>
  <c r="G104" i="29"/>
  <c r="G100" i="29"/>
  <c r="G107" i="29"/>
  <c r="G98" i="29"/>
  <c r="G105" i="29"/>
  <c r="G119" i="29"/>
  <c r="BF99" i="12" s="1"/>
  <c r="G90" i="29"/>
  <c r="BF71" i="12" s="1"/>
  <c r="G102" i="29"/>
  <c r="G78" i="29"/>
  <c r="G89" i="29"/>
  <c r="G87" i="29"/>
  <c r="BF68" i="12" s="1"/>
  <c r="G54" i="29"/>
  <c r="G79" i="29"/>
  <c r="G106" i="29"/>
  <c r="G52" i="29"/>
  <c r="G99" i="29"/>
  <c r="G88" i="29"/>
  <c r="BF69" i="12" s="1"/>
  <c r="G80" i="29"/>
  <c r="G53" i="29"/>
  <c r="E82" i="28"/>
  <c r="E111" i="28"/>
  <c r="AQ91" i="12" s="1"/>
  <c r="E116" i="28"/>
  <c r="AQ96" i="12" s="1"/>
  <c r="E112" i="28"/>
  <c r="AQ92" i="12" s="1"/>
  <c r="E141" i="28"/>
  <c r="AQ121" i="12" s="1"/>
  <c r="E103" i="28"/>
  <c r="E110" i="28"/>
  <c r="AQ90" i="12" s="1"/>
  <c r="E117" i="28"/>
  <c r="AQ97" i="12" s="1"/>
  <c r="E115" i="28"/>
  <c r="AQ95" i="12" s="1"/>
  <c r="E87" i="28"/>
  <c r="AQ68" i="12" s="1"/>
  <c r="E172" i="28"/>
  <c r="E168" i="28"/>
  <c r="E171" i="28"/>
  <c r="E169" i="28"/>
  <c r="E170" i="28"/>
  <c r="E158" i="28"/>
  <c r="E150" i="28"/>
  <c r="E153" i="28"/>
  <c r="E156" i="28"/>
  <c r="E159" i="28"/>
  <c r="E151" i="28"/>
  <c r="E154" i="28"/>
  <c r="E157" i="28"/>
  <c r="E149" i="28"/>
  <c r="E155" i="28"/>
  <c r="E152" i="28"/>
  <c r="E127" i="28"/>
  <c r="E130" i="28"/>
  <c r="E132" i="28"/>
  <c r="E128" i="28"/>
  <c r="E129" i="28"/>
  <c r="E131" i="28"/>
  <c r="E123" i="28"/>
  <c r="E122" i="28"/>
  <c r="E124" i="28"/>
  <c r="AQ104" i="12" s="1"/>
  <c r="E99" i="28"/>
  <c r="E93" i="28"/>
  <c r="E85" i="28"/>
  <c r="E104" i="28"/>
  <c r="E107" i="28"/>
  <c r="E97" i="28"/>
  <c r="E100" i="28"/>
  <c r="E105" i="28"/>
  <c r="E94" i="28"/>
  <c r="E91" i="28"/>
  <c r="E54" i="28"/>
  <c r="E109" i="28"/>
  <c r="E98" i="28"/>
  <c r="E53" i="28"/>
  <c r="E52" i="28"/>
  <c r="E106" i="28"/>
  <c r="E125" i="28"/>
  <c r="I103" i="30"/>
  <c r="I82" i="30"/>
  <c r="I171" i="30"/>
  <c r="I166" i="30"/>
  <c r="BU146" i="12" s="1"/>
  <c r="I116" i="30"/>
  <c r="BU96" i="12" s="1"/>
  <c r="I169" i="30"/>
  <c r="I117" i="30"/>
  <c r="I172" i="30"/>
  <c r="I167" i="30"/>
  <c r="BU147" i="12" s="1"/>
  <c r="I170" i="30"/>
  <c r="I168" i="30"/>
  <c r="I152" i="30"/>
  <c r="I165" i="30"/>
  <c r="BU145" i="12" s="1"/>
  <c r="I155" i="30"/>
  <c r="I150" i="30"/>
  <c r="I158" i="30"/>
  <c r="I156" i="30"/>
  <c r="I151" i="30"/>
  <c r="I153" i="30"/>
  <c r="I149" i="30"/>
  <c r="I159" i="30"/>
  <c r="I157" i="30"/>
  <c r="I134" i="30"/>
  <c r="I154" i="30"/>
  <c r="I120" i="30"/>
  <c r="I123" i="30"/>
  <c r="I121" i="30"/>
  <c r="I99" i="30"/>
  <c r="I106" i="30"/>
  <c r="I109" i="30"/>
  <c r="I119" i="30"/>
  <c r="BU99" i="12" s="1"/>
  <c r="I97" i="30"/>
  <c r="I104" i="30"/>
  <c r="I100" i="30"/>
  <c r="I107" i="30"/>
  <c r="I90" i="30"/>
  <c r="BU71" i="12" s="1"/>
  <c r="I98" i="30"/>
  <c r="I105" i="30"/>
  <c r="I102" i="30"/>
  <c r="I87" i="30"/>
  <c r="I53" i="30"/>
  <c r="I85" i="30"/>
  <c r="I91" i="30"/>
  <c r="I88" i="30"/>
  <c r="I54" i="30"/>
  <c r="I89" i="30"/>
  <c r="I52" i="30"/>
  <c r="E78" i="28"/>
  <c r="E103" i="29"/>
  <c r="E112" i="29"/>
  <c r="BD92" i="12" s="1"/>
  <c r="E110" i="29"/>
  <c r="BD90" i="12" s="1"/>
  <c r="E111" i="29"/>
  <c r="BD91" i="12" s="1"/>
  <c r="E82" i="29"/>
  <c r="E87" i="29"/>
  <c r="E168" i="29"/>
  <c r="E171" i="29"/>
  <c r="E169" i="29"/>
  <c r="E172" i="29"/>
  <c r="E155" i="29"/>
  <c r="E158" i="29"/>
  <c r="E150" i="29"/>
  <c r="E153" i="29"/>
  <c r="E156" i="29"/>
  <c r="E159" i="29"/>
  <c r="E151" i="29"/>
  <c r="E170" i="29"/>
  <c r="E154" i="29"/>
  <c r="E152" i="29"/>
  <c r="E139" i="29"/>
  <c r="E149" i="29"/>
  <c r="E157" i="29"/>
  <c r="E140" i="29"/>
  <c r="E128" i="29"/>
  <c r="E129" i="29"/>
  <c r="E130" i="29"/>
  <c r="E131" i="29"/>
  <c r="E132" i="29"/>
  <c r="E127" i="29"/>
  <c r="E124" i="29"/>
  <c r="BD104" i="12" s="1"/>
  <c r="E123" i="29"/>
  <c r="E122" i="29"/>
  <c r="E106" i="29"/>
  <c r="E120" i="29"/>
  <c r="E99" i="29"/>
  <c r="E93" i="29"/>
  <c r="E79" i="29"/>
  <c r="E54" i="29"/>
  <c r="E104" i="29"/>
  <c r="E107" i="29"/>
  <c r="E97" i="29"/>
  <c r="E78" i="29"/>
  <c r="E100" i="29"/>
  <c r="E53" i="29"/>
  <c r="E105" i="29"/>
  <c r="E94" i="29"/>
  <c r="E91" i="29"/>
  <c r="E52" i="29"/>
  <c r="E109" i="29"/>
  <c r="E98" i="29"/>
  <c r="E51" i="29"/>
  <c r="E80" i="29"/>
  <c r="E125" i="29"/>
  <c r="E28" i="29" s="1"/>
  <c r="F103" i="29"/>
  <c r="F112" i="29"/>
  <c r="BE92" i="12" s="1"/>
  <c r="F110" i="29"/>
  <c r="BE90" i="12" s="1"/>
  <c r="F82" i="29"/>
  <c r="F111" i="29"/>
  <c r="BE91" i="12" s="1"/>
  <c r="F171" i="29"/>
  <c r="F166" i="29"/>
  <c r="BE146" i="12" s="1"/>
  <c r="F169" i="29"/>
  <c r="F172" i="29"/>
  <c r="F116" i="29"/>
  <c r="BE96" i="12" s="1"/>
  <c r="F115" i="29"/>
  <c r="BE95" i="12" s="1"/>
  <c r="F167" i="29"/>
  <c r="BE147" i="12" s="1"/>
  <c r="F117" i="29"/>
  <c r="BE97" i="12" s="1"/>
  <c r="F170" i="29"/>
  <c r="F168" i="29"/>
  <c r="F165" i="29"/>
  <c r="BE145" i="12" s="1"/>
  <c r="F151" i="29"/>
  <c r="F159" i="29"/>
  <c r="F161" i="29"/>
  <c r="F164" i="29" s="1"/>
  <c r="F154" i="29"/>
  <c r="F149" i="29"/>
  <c r="F157" i="29"/>
  <c r="F152" i="29"/>
  <c r="F155" i="29"/>
  <c r="F150" i="29"/>
  <c r="F158" i="29"/>
  <c r="F153" i="29"/>
  <c r="F134" i="29"/>
  <c r="F139" i="29"/>
  <c r="F156" i="29"/>
  <c r="F142" i="29"/>
  <c r="F135" i="29"/>
  <c r="BE115" i="12" s="1"/>
  <c r="F140" i="29"/>
  <c r="F143" i="29"/>
  <c r="BE123" i="12" s="1"/>
  <c r="F141" i="29"/>
  <c r="F144" i="29"/>
  <c r="BE124" i="12" s="1"/>
  <c r="F147" i="29"/>
  <c r="F129" i="29"/>
  <c r="F132" i="29"/>
  <c r="F127" i="29"/>
  <c r="F130" i="29"/>
  <c r="F146" i="29"/>
  <c r="F128" i="29"/>
  <c r="F131" i="29"/>
  <c r="F124" i="29"/>
  <c r="F120" i="29"/>
  <c r="F122" i="29"/>
  <c r="F125" i="29"/>
  <c r="F28" i="29" s="1"/>
  <c r="F121" i="29"/>
  <c r="BE101" i="12" s="1"/>
  <c r="F123" i="29"/>
  <c r="F119" i="29"/>
  <c r="BE99" i="12" s="1"/>
  <c r="F97" i="29"/>
  <c r="F104" i="29"/>
  <c r="F94" i="29"/>
  <c r="F100" i="29"/>
  <c r="F107" i="29"/>
  <c r="F98" i="29"/>
  <c r="F105" i="29"/>
  <c r="F90" i="29"/>
  <c r="F102" i="29"/>
  <c r="F93" i="29"/>
  <c r="F99" i="29"/>
  <c r="F106" i="29"/>
  <c r="BE93" i="12"/>
  <c r="F87" i="29"/>
  <c r="BE68" i="12" s="1"/>
  <c r="F54" i="29"/>
  <c r="F79" i="29"/>
  <c r="F109" i="29"/>
  <c r="F52" i="29"/>
  <c r="F91" i="29"/>
  <c r="F88" i="29"/>
  <c r="BE69" i="12" s="1"/>
  <c r="F80" i="29"/>
  <c r="F86" i="29"/>
  <c r="BE67" i="12" s="1"/>
  <c r="F53" i="29"/>
  <c r="F89" i="29"/>
  <c r="BE70" i="12" s="1"/>
  <c r="F78" i="29"/>
  <c r="E79" i="28"/>
  <c r="E51" i="28"/>
  <c r="AV168" i="12"/>
  <c r="G170" i="12"/>
  <c r="T170" i="33" s="1"/>
  <c r="G170" i="33" s="1"/>
  <c r="G205" i="28"/>
  <c r="G40" i="4" s="1"/>
  <c r="G168" i="12"/>
  <c r="T168" i="33" s="1"/>
  <c r="G168" i="33" s="1"/>
  <c r="F168" i="12"/>
  <c r="S168" i="33" s="1"/>
  <c r="F168" i="33" s="1"/>
  <c r="E168" i="12"/>
  <c r="R168" i="33" s="1"/>
  <c r="E168" i="33" s="1"/>
  <c r="D168" i="12"/>
  <c r="Q168" i="33" s="1"/>
  <c r="D168" i="33" s="1"/>
  <c r="H18" i="11"/>
  <c r="CG8" i="12"/>
  <c r="CG9" i="12"/>
  <c r="F211" i="26"/>
  <c r="F217" i="26"/>
  <c r="I7" i="26"/>
  <c r="J7" i="26" s="1"/>
  <c r="H113" i="15"/>
  <c r="H123" i="15" s="1"/>
  <c r="H134" i="15"/>
  <c r="G103" i="15"/>
  <c r="G144" i="15"/>
  <c r="G83" i="15"/>
  <c r="G148" i="15"/>
  <c r="G100" i="15"/>
  <c r="H76" i="15"/>
  <c r="H80" i="15" s="1"/>
  <c r="G15" i="15"/>
  <c r="G35" i="15" s="1"/>
  <c r="G43" i="15" s="1"/>
  <c r="H87" i="15"/>
  <c r="K121" i="15"/>
  <c r="K144" i="15"/>
  <c r="K78" i="15"/>
  <c r="K113" i="15"/>
  <c r="K123" i="15" s="1"/>
  <c r="G77" i="15"/>
  <c r="H99" i="14"/>
  <c r="G66" i="14"/>
  <c r="G96" i="15"/>
  <c r="G105" i="15" s="1"/>
  <c r="G114" i="15"/>
  <c r="G124" i="15"/>
  <c r="H86" i="15"/>
  <c r="H91" i="15" s="1"/>
  <c r="G115" i="15"/>
  <c r="H82" i="14"/>
  <c r="H18" i="14"/>
  <c r="H30" i="14" s="1"/>
  <c r="G78" i="15"/>
  <c r="G93" i="15"/>
  <c r="H82" i="15"/>
  <c r="H138" i="15"/>
  <c r="H81" i="15"/>
  <c r="H84" i="15" s="1"/>
  <c r="G18" i="14"/>
  <c r="G30" i="14" s="1"/>
  <c r="G130" i="14"/>
  <c r="G147" i="14" s="1"/>
  <c r="G138" i="14"/>
  <c r="H51" i="14"/>
  <c r="H52" i="14" s="1"/>
  <c r="G17" i="14"/>
  <c r="G137" i="14"/>
  <c r="G132" i="14"/>
  <c r="O83" i="15"/>
  <c r="K103" i="15"/>
  <c r="K130" i="15"/>
  <c r="K147" i="15" s="1"/>
  <c r="K51" i="15"/>
  <c r="K52" i="15" s="1"/>
  <c r="K99" i="15"/>
  <c r="K101" i="15"/>
  <c r="E17" i="21"/>
  <c r="E166" i="12"/>
  <c r="E16" i="21" s="1"/>
  <c r="G117" i="15"/>
  <c r="G141" i="15"/>
  <c r="G126" i="15"/>
  <c r="G99" i="15"/>
  <c r="G135" i="15"/>
  <c r="G82" i="15"/>
  <c r="G97" i="15"/>
  <c r="K120" i="15"/>
  <c r="Q122" i="15"/>
  <c r="K142" i="15"/>
  <c r="K126" i="15"/>
  <c r="K138" i="15"/>
  <c r="K96" i="15"/>
  <c r="K105" i="15" s="1"/>
  <c r="K124" i="15"/>
  <c r="G36" i="15"/>
  <c r="G138" i="15"/>
  <c r="G131" i="15"/>
  <c r="G102" i="15"/>
  <c r="G130" i="15"/>
  <c r="G147" i="15" s="1"/>
  <c r="H81" i="14"/>
  <c r="H84" i="14" s="1"/>
  <c r="H87" i="14"/>
  <c r="G133" i="15"/>
  <c r="G118" i="15"/>
  <c r="K172" i="15"/>
  <c r="K108" i="15" s="1"/>
  <c r="K112" i="15" s="1"/>
  <c r="H142" i="14"/>
  <c r="H78" i="15"/>
  <c r="K81" i="15"/>
  <c r="K84" i="15" s="1"/>
  <c r="K137" i="15"/>
  <c r="K134" i="15"/>
  <c r="K97" i="15"/>
  <c r="K16" i="15"/>
  <c r="G18" i="15"/>
  <c r="G30" i="15" s="1"/>
  <c r="G134" i="15"/>
  <c r="G120" i="15"/>
  <c r="H76" i="14"/>
  <c r="H80" i="14" s="1"/>
  <c r="H141" i="14"/>
  <c r="H138" i="14"/>
  <c r="G113" i="15"/>
  <c r="G123" i="15" s="1"/>
  <c r="K106" i="15"/>
  <c r="H107" i="15"/>
  <c r="H135" i="15"/>
  <c r="G101" i="15"/>
  <c r="G93" i="14"/>
  <c r="H132" i="14"/>
  <c r="G134" i="14"/>
  <c r="G124" i="14"/>
  <c r="G32" i="14" s="1"/>
  <c r="G118" i="14"/>
  <c r="G140" i="14"/>
  <c r="K119" i="15"/>
  <c r="K82" i="15"/>
  <c r="K132" i="15"/>
  <c r="K115" i="15"/>
  <c r="K36" i="15"/>
  <c r="H17" i="14"/>
  <c r="G121" i="15"/>
  <c r="G17" i="15"/>
  <c r="G106" i="15"/>
  <c r="G119" i="15"/>
  <c r="H104" i="14"/>
  <c r="H78" i="14"/>
  <c r="H106" i="14"/>
  <c r="G142" i="15"/>
  <c r="K148" i="15"/>
  <c r="H126" i="15"/>
  <c r="H125" i="15"/>
  <c r="G122" i="14"/>
  <c r="G81" i="14"/>
  <c r="G84" i="14" s="1"/>
  <c r="G102" i="14"/>
  <c r="G115" i="14"/>
  <c r="G99" i="14"/>
  <c r="K100" i="15"/>
  <c r="K79" i="15"/>
  <c r="K116" i="15"/>
  <c r="K136" i="15"/>
  <c r="D164" i="12"/>
  <c r="G5" i="26"/>
  <c r="G210" i="26" s="1"/>
  <c r="G46" i="26" s="1"/>
  <c r="F216" i="26"/>
  <c r="F210" i="26"/>
  <c r="F46" i="26" s="1"/>
  <c r="F214" i="26"/>
  <c r="F213" i="26"/>
  <c r="H17" i="15"/>
  <c r="H137" i="15"/>
  <c r="G78" i="14"/>
  <c r="K118" i="15"/>
  <c r="H122" i="15"/>
  <c r="H172" i="15"/>
  <c r="H108" i="15" s="1"/>
  <c r="H112" i="15" s="1"/>
  <c r="H124" i="15"/>
  <c r="H141" i="15"/>
  <c r="H140" i="15"/>
  <c r="K93" i="15"/>
  <c r="H51" i="15"/>
  <c r="H52" i="15" s="1"/>
  <c r="K17" i="15"/>
  <c r="H144" i="15"/>
  <c r="H121" i="15"/>
  <c r="H132" i="15"/>
  <c r="K140" i="15"/>
  <c r="K114" i="15"/>
  <c r="H131" i="15"/>
  <c r="H98" i="15"/>
  <c r="F66" i="14"/>
  <c r="F74" i="14" s="1"/>
  <c r="G117" i="14"/>
  <c r="H101" i="15"/>
  <c r="H106" i="15"/>
  <c r="K122" i="15"/>
  <c r="G107" i="14"/>
  <c r="O17" i="14"/>
  <c r="K77" i="14"/>
  <c r="K76" i="14"/>
  <c r="K80" i="14" s="1"/>
  <c r="F215" i="26"/>
  <c r="H413" i="14"/>
  <c r="H431" i="14"/>
  <c r="H387" i="14"/>
  <c r="H371" i="14"/>
  <c r="H376" i="14"/>
  <c r="H335" i="14"/>
  <c r="H378" i="14"/>
  <c r="H398" i="14"/>
  <c r="H409" i="14"/>
  <c r="H349" i="14"/>
  <c r="H411" i="14"/>
  <c r="H334" i="14"/>
  <c r="H348" i="14"/>
  <c r="H414" i="14"/>
  <c r="H346" i="14"/>
  <c r="H388" i="14"/>
  <c r="H401" i="14"/>
  <c r="H404" i="14"/>
  <c r="H417" i="14"/>
  <c r="H393" i="14"/>
  <c r="H389" i="14"/>
  <c r="H400" i="14"/>
  <c r="H390" i="14"/>
  <c r="H374" i="14"/>
  <c r="H428" i="14"/>
  <c r="H424" i="14"/>
  <c r="H435" i="14"/>
  <c r="H383" i="14"/>
  <c r="H319" i="14"/>
  <c r="H322" i="14"/>
  <c r="H64" i="14" s="1"/>
  <c r="H325" i="14"/>
  <c r="H328" i="14"/>
  <c r="H331" i="14"/>
  <c r="H361" i="14"/>
  <c r="H406" i="14"/>
  <c r="H336" i="14"/>
  <c r="H350" i="14"/>
  <c r="H403" i="14"/>
  <c r="H365" i="14"/>
  <c r="H405" i="14"/>
  <c r="H5" i="14"/>
  <c r="H399" i="14"/>
  <c r="H439" i="14"/>
  <c r="H375" i="14"/>
  <c r="H392" i="14"/>
  <c r="H410" i="14"/>
  <c r="H351" i="14"/>
  <c r="H391" i="14"/>
  <c r="H360" i="14"/>
  <c r="H408" i="14"/>
  <c r="H427" i="14"/>
  <c r="H372" i="14"/>
  <c r="H412" i="14"/>
  <c r="H344" i="14"/>
  <c r="H380" i="14"/>
  <c r="H338" i="14"/>
  <c r="H355" i="14"/>
  <c r="H415" i="14"/>
  <c r="H421" i="14"/>
  <c r="H366" i="14"/>
  <c r="H420" i="14"/>
  <c r="H333" i="14"/>
  <c r="H402" i="14"/>
  <c r="H339" i="14"/>
  <c r="H356" i="14"/>
  <c r="H430" i="14"/>
  <c r="H369" i="14"/>
  <c r="H353" i="14"/>
  <c r="H373" i="14"/>
  <c r="H394" i="14"/>
  <c r="H386" i="14"/>
  <c r="H363" i="14"/>
  <c r="H395" i="14"/>
  <c r="H434" i="14"/>
  <c r="H347" i="14"/>
  <c r="H440" i="14"/>
  <c r="H352" i="14"/>
  <c r="H318" i="14"/>
  <c r="H321" i="14"/>
  <c r="H324" i="14"/>
  <c r="H327" i="14"/>
  <c r="H330" i="14"/>
  <c r="H418" i="14"/>
  <c r="H340" i="14"/>
  <c r="H362" i="14"/>
  <c r="H357" i="14"/>
  <c r="H377" i="14"/>
  <c r="H316" i="14"/>
  <c r="H370" i="14"/>
  <c r="H379" i="14"/>
  <c r="H419" i="14"/>
  <c r="H342" i="14"/>
  <c r="H426" i="14"/>
  <c r="H343" i="14"/>
  <c r="H396" i="14"/>
  <c r="H345" i="14"/>
  <c r="H437" i="14"/>
  <c r="H384" i="14"/>
  <c r="H385" i="14"/>
  <c r="H359" i="14"/>
  <c r="H425" i="14"/>
  <c r="H341" i="14"/>
  <c r="H407" i="14"/>
  <c r="H382" i="14"/>
  <c r="H354" i="14"/>
  <c r="H381" i="14"/>
  <c r="H364" i="14"/>
  <c r="N8" i="14"/>
  <c r="M9" i="14"/>
  <c r="F65" i="15"/>
  <c r="F42" i="15" s="1"/>
  <c r="E90" i="28"/>
  <c r="AQ71" i="12" s="1"/>
  <c r="E89" i="28"/>
  <c r="AQ70" i="12" s="1"/>
  <c r="M324" i="15"/>
  <c r="L124" i="14"/>
  <c r="K245" i="14"/>
  <c r="J178" i="14"/>
  <c r="J180" i="14" s="1"/>
  <c r="J111" i="14" s="1"/>
  <c r="L370" i="15"/>
  <c r="L350" i="15"/>
  <c r="L387" i="15"/>
  <c r="L325" i="15"/>
  <c r="L361" i="15"/>
  <c r="L328" i="15"/>
  <c r="L423" i="15"/>
  <c r="L335" i="15"/>
  <c r="L340" i="15"/>
  <c r="L352" i="15"/>
  <c r="L323" i="15"/>
  <c r="L391" i="15"/>
  <c r="L362" i="15"/>
  <c r="L334" i="15"/>
  <c r="L345" i="15"/>
  <c r="L440" i="15"/>
  <c r="L355" i="15"/>
  <c r="L368" i="15"/>
  <c r="L343" i="15"/>
  <c r="L385" i="15"/>
  <c r="L431" i="15"/>
  <c r="L421" i="15"/>
  <c r="L5" i="15"/>
  <c r="M336" i="15" s="1"/>
  <c r="L383" i="15"/>
  <c r="L326" i="15"/>
  <c r="L432" i="15"/>
  <c r="L332" i="15"/>
  <c r="L379" i="15"/>
  <c r="L351" i="15"/>
  <c r="L320" i="15"/>
  <c r="L377" i="15"/>
  <c r="L436" i="15"/>
  <c r="L382" i="15"/>
  <c r="L322" i="15"/>
  <c r="L337" i="15"/>
  <c r="L372" i="15"/>
  <c r="L344" i="15"/>
  <c r="L426" i="15"/>
  <c r="L422" i="15"/>
  <c r="L358" i="15"/>
  <c r="L435" i="15"/>
  <c r="L317" i="15"/>
  <c r="L427" i="15"/>
  <c r="L430" i="15"/>
  <c r="L371" i="15"/>
  <c r="L364" i="15"/>
  <c r="L425" i="15"/>
  <c r="L428" i="15"/>
  <c r="L396" i="15"/>
  <c r="L374" i="15"/>
  <c r="L353" i="15"/>
  <c r="L399" i="15"/>
  <c r="L439" i="15"/>
  <c r="L380" i="15"/>
  <c r="L348" i="15"/>
  <c r="L366" i="15"/>
  <c r="L349" i="15"/>
  <c r="L316" i="15"/>
  <c r="L390" i="15"/>
  <c r="L433" i="15"/>
  <c r="L373" i="15"/>
  <c r="L434" i="15"/>
  <c r="L329" i="15"/>
  <c r="L424" i="15"/>
  <c r="L359" i="15"/>
  <c r="L381" i="15"/>
  <c r="L392" i="15"/>
  <c r="L354" i="15"/>
  <c r="L386" i="15"/>
  <c r="L363" i="15"/>
  <c r="L360" i="15"/>
  <c r="L367" i="15"/>
  <c r="L437" i="15"/>
  <c r="L346" i="15"/>
  <c r="L319" i="15"/>
  <c r="L63" i="15" s="1"/>
  <c r="L389" i="15"/>
  <c r="L375" i="15"/>
  <c r="L400" i="15"/>
  <c r="L429" i="15"/>
  <c r="L395" i="15"/>
  <c r="L365" i="15"/>
  <c r="L438" i="15"/>
  <c r="L356" i="15"/>
  <c r="L331" i="15"/>
  <c r="L384" i="15"/>
  <c r="L378" i="15"/>
  <c r="L369" i="15"/>
  <c r="L342" i="15"/>
  <c r="L393" i="15"/>
  <c r="L357" i="15"/>
  <c r="L347" i="15"/>
  <c r="L394" i="15"/>
  <c r="L388" i="15"/>
  <c r="L397" i="15"/>
  <c r="L398" i="15"/>
  <c r="L376" i="15"/>
  <c r="N4" i="14"/>
  <c r="L8" i="8"/>
  <c r="K9" i="8"/>
  <c r="I323" i="14"/>
  <c r="H63" i="14"/>
  <c r="M406" i="15"/>
  <c r="K63" i="15"/>
  <c r="M413" i="15"/>
  <c r="K213" i="15"/>
  <c r="J341" i="15"/>
  <c r="I400" i="8"/>
  <c r="I385" i="8"/>
  <c r="I453" i="8"/>
  <c r="I414" i="8"/>
  <c r="I418" i="8"/>
  <c r="I344" i="8"/>
  <c r="I425" i="8"/>
  <c r="I342" i="8"/>
  <c r="I436" i="8"/>
  <c r="I350" i="8"/>
  <c r="I399" i="8"/>
  <c r="I408" i="8"/>
  <c r="I457" i="8"/>
  <c r="I353" i="8"/>
  <c r="I441" i="8"/>
  <c r="I456" i="8"/>
  <c r="I335" i="8"/>
  <c r="I341" i="8"/>
  <c r="I347" i="8"/>
  <c r="I427" i="8"/>
  <c r="I450" i="8"/>
  <c r="I446" i="8"/>
  <c r="I405" i="8"/>
  <c r="I395" i="8"/>
  <c r="I452" i="8"/>
  <c r="I437" i="8"/>
  <c r="I339" i="8"/>
  <c r="I419" i="8"/>
  <c r="I433" i="8"/>
  <c r="I398" i="8"/>
  <c r="I386" i="8"/>
  <c r="I384" i="8"/>
  <c r="I413" i="8"/>
  <c r="I458" i="8"/>
  <c r="I454" i="8"/>
  <c r="I438" i="8"/>
  <c r="I423" i="8"/>
  <c r="I355" i="8"/>
  <c r="I357" i="8"/>
  <c r="I447" i="8"/>
  <c r="I444" i="8"/>
  <c r="I392" i="8"/>
  <c r="I393" i="8"/>
  <c r="I383" i="8"/>
  <c r="I443" i="8"/>
  <c r="I421" i="8"/>
  <c r="I431" i="8"/>
  <c r="I435" i="8"/>
  <c r="I356" i="8"/>
  <c r="I387" i="8"/>
  <c r="I449" i="8"/>
  <c r="I396" i="8"/>
  <c r="I397" i="8"/>
  <c r="I416" i="8"/>
  <c r="I391" i="8"/>
  <c r="I428" i="8"/>
  <c r="I434" i="8"/>
  <c r="I422" i="8"/>
  <c r="I388" i="8"/>
  <c r="I402" i="8"/>
  <c r="I417" i="8"/>
  <c r="I410" i="8"/>
  <c r="I455" i="8"/>
  <c r="I429" i="8"/>
  <c r="I345" i="8"/>
  <c r="I351" i="8"/>
  <c r="I448" i="8"/>
  <c r="I404" i="8"/>
  <c r="I442" i="8"/>
  <c r="I415" i="8"/>
  <c r="I403" i="8"/>
  <c r="I338" i="8"/>
  <c r="I420" i="8"/>
  <c r="I424" i="8"/>
  <c r="I352" i="8"/>
  <c r="I406" i="8"/>
  <c r="I411" i="8"/>
  <c r="I409" i="8"/>
  <c r="I412" i="8"/>
  <c r="I354" i="8"/>
  <c r="I440" i="8"/>
  <c r="I432" i="8"/>
  <c r="I394" i="8"/>
  <c r="I445" i="8"/>
  <c r="I348" i="8"/>
  <c r="I336" i="8"/>
  <c r="I401" i="8"/>
  <c r="I389" i="8"/>
  <c r="I430" i="8"/>
  <c r="I451" i="8"/>
  <c r="I407" i="8"/>
  <c r="I426" i="8"/>
  <c r="I390" i="8"/>
  <c r="L64" i="15"/>
  <c r="L81" i="14"/>
  <c r="L84" i="14" s="1"/>
  <c r="I5" i="8"/>
  <c r="J371" i="8" s="1"/>
  <c r="J4" i="8"/>
  <c r="I337" i="14"/>
  <c r="I332" i="14"/>
  <c r="M405" i="15"/>
  <c r="M416" i="15"/>
  <c r="G66" i="15"/>
  <c r="G74" i="15" s="1"/>
  <c r="L79" i="14"/>
  <c r="M200" i="8"/>
  <c r="N255" i="8"/>
  <c r="M7" i="14"/>
  <c r="N6" i="14"/>
  <c r="P244" i="14"/>
  <c r="O178" i="14"/>
  <c r="O180" i="14" s="1"/>
  <c r="I329" i="14"/>
  <c r="J380" i="8"/>
  <c r="M318" i="15"/>
  <c r="O148" i="14"/>
  <c r="O93" i="14"/>
  <c r="O118" i="14"/>
  <c r="G140" i="15"/>
  <c r="G107" i="15"/>
  <c r="K65" i="15"/>
  <c r="K42" i="15" s="1"/>
  <c r="J346" i="8"/>
  <c r="I320" i="14"/>
  <c r="M330" i="15"/>
  <c r="N7" i="15"/>
  <c r="O6" i="15"/>
  <c r="K62" i="15"/>
  <c r="N7" i="8"/>
  <c r="O6" i="8"/>
  <c r="S155" i="33"/>
  <c r="F155" i="33" s="1"/>
  <c r="U155" i="33"/>
  <c r="H155" i="33" s="1"/>
  <c r="W155" i="33"/>
  <c r="J155" i="33" s="1"/>
  <c r="Y155" i="33"/>
  <c r="L155" i="33" s="1"/>
  <c r="AA154" i="33"/>
  <c r="N154" i="33" s="1"/>
  <c r="Q154" i="33"/>
  <c r="D154" i="33" s="1"/>
  <c r="T155" i="33"/>
  <c r="G155" i="33" s="1"/>
  <c r="V155" i="33"/>
  <c r="I155" i="33" s="1"/>
  <c r="Y154" i="33"/>
  <c r="L154" i="33" s="1"/>
  <c r="AA155" i="33"/>
  <c r="N155" i="33" s="1"/>
  <c r="W154" i="33"/>
  <c r="J154" i="33" s="1"/>
  <c r="R154" i="33"/>
  <c r="E154" i="33" s="1"/>
  <c r="T154" i="33"/>
  <c r="G154" i="33" s="1"/>
  <c r="V154" i="33"/>
  <c r="I154" i="33" s="1"/>
  <c r="X154" i="33"/>
  <c r="K154" i="33" s="1"/>
  <c r="Z154" i="33"/>
  <c r="M154" i="33" s="1"/>
  <c r="AB154" i="33"/>
  <c r="O154" i="33" s="1"/>
  <c r="S154" i="33"/>
  <c r="F154" i="33" s="1"/>
  <c r="U154" i="33"/>
  <c r="H154" i="33" s="1"/>
  <c r="X155" i="33"/>
  <c r="K155" i="33" s="1"/>
  <c r="Z155" i="33"/>
  <c r="M155" i="33" s="1"/>
  <c r="AB155" i="33"/>
  <c r="O155" i="33" s="1"/>
  <c r="R155" i="33"/>
  <c r="E155" i="33" s="1"/>
  <c r="Q155" i="33"/>
  <c r="D155" i="33" s="1"/>
  <c r="H204" i="26"/>
  <c r="M202" i="32"/>
  <c r="AL170" i="33" s="1"/>
  <c r="AE59" i="33"/>
  <c r="P202" i="32"/>
  <c r="AO170" i="33" s="1"/>
  <c r="AK32" i="33"/>
  <c r="K202" i="32"/>
  <c r="AJ170" i="33" s="1"/>
  <c r="AF32" i="33"/>
  <c r="I203" i="32"/>
  <c r="J7" i="27"/>
  <c r="J191" i="32"/>
  <c r="J99" i="32" s="1"/>
  <c r="AI80" i="33" s="1"/>
  <c r="I202" i="26"/>
  <c r="U170" i="12" s="1"/>
  <c r="BW169" i="12"/>
  <c r="BW171" i="12" s="1"/>
  <c r="L204" i="30"/>
  <c r="L205" i="30" s="1"/>
  <c r="L62" i="4" s="1"/>
  <c r="J7" i="30"/>
  <c r="F218" i="30"/>
  <c r="F185" i="30"/>
  <c r="F95" i="30" s="1"/>
  <c r="E185" i="30"/>
  <c r="E95" i="30" s="1"/>
  <c r="BQ76" i="12" s="1"/>
  <c r="G185" i="29"/>
  <c r="G95" i="29" s="1"/>
  <c r="BF76" i="12" s="1"/>
  <c r="E185" i="29"/>
  <c r="E95" i="29" s="1"/>
  <c r="BD76" i="12" s="1"/>
  <c r="F185" i="29"/>
  <c r="F95" i="29" s="1"/>
  <c r="BE76" i="12" s="1"/>
  <c r="F80" i="32"/>
  <c r="F121" i="32"/>
  <c r="AE101" i="33" s="1"/>
  <c r="F123" i="32"/>
  <c r="AE103" i="33" s="1"/>
  <c r="F134" i="32"/>
  <c r="AE114" i="33" s="1"/>
  <c r="F122" i="32"/>
  <c r="AE102" i="33" s="1"/>
  <c r="F141" i="32"/>
  <c r="AE121" i="33" s="1"/>
  <c r="F115" i="32"/>
  <c r="AE95" i="33" s="1"/>
  <c r="F120" i="32"/>
  <c r="AE100" i="33" s="1"/>
  <c r="F124" i="32"/>
  <c r="AE104" i="33" s="1"/>
  <c r="F109" i="32"/>
  <c r="AE89" i="33" s="1"/>
  <c r="E61" i="32"/>
  <c r="AD42" i="33" s="1"/>
  <c r="F79" i="32"/>
  <c r="I98" i="32"/>
  <c r="N59" i="32"/>
  <c r="AM40" i="33" s="1"/>
  <c r="J59" i="32"/>
  <c r="AI40" i="33" s="1"/>
  <c r="F59" i="32"/>
  <c r="AE40" i="33" s="1"/>
  <c r="M59" i="32"/>
  <c r="AL40" i="33" s="1"/>
  <c r="I59" i="32"/>
  <c r="AH40" i="33" s="1"/>
  <c r="G61" i="32"/>
  <c r="AF42" i="33" s="1"/>
  <c r="E185" i="28"/>
  <c r="G185" i="30"/>
  <c r="G95" i="30" s="1"/>
  <c r="I185" i="30"/>
  <c r="H185" i="30"/>
  <c r="H95" i="30" s="1"/>
  <c r="BT76" i="12" s="1"/>
  <c r="E59" i="32"/>
  <c r="AD40" i="33" s="1"/>
  <c r="H101" i="32"/>
  <c r="AG82" i="33" s="1"/>
  <c r="G17" i="29"/>
  <c r="G23" i="29" s="1"/>
  <c r="E126" i="32"/>
  <c r="P59" i="32"/>
  <c r="AO40" i="33" s="1"/>
  <c r="L59" i="32"/>
  <c r="AK40" i="33" s="1"/>
  <c r="H59" i="32"/>
  <c r="AG40" i="33" s="1"/>
  <c r="F61" i="32"/>
  <c r="AE42" i="33" s="1"/>
  <c r="O59" i="32"/>
  <c r="AN40" i="33" s="1"/>
  <c r="K59" i="32"/>
  <c r="AJ40" i="33" s="1"/>
  <c r="G59" i="32"/>
  <c r="AF40" i="33" s="1"/>
  <c r="H61" i="32"/>
  <c r="AG42" i="33" s="1"/>
  <c r="J6" i="32"/>
  <c r="I61" i="32"/>
  <c r="AH42" i="33" s="1"/>
  <c r="J188" i="26"/>
  <c r="AF169" i="33"/>
  <c r="AF171" i="33" s="1"/>
  <c r="O28" i="17"/>
  <c r="I197" i="28"/>
  <c r="F53" i="32"/>
  <c r="F52" i="32"/>
  <c r="F54" i="32"/>
  <c r="AD169" i="33"/>
  <c r="AD171" i="33" s="1"/>
  <c r="E80" i="32"/>
  <c r="AD61" i="33" s="1"/>
  <c r="AD30" i="33"/>
  <c r="I87" i="15"/>
  <c r="I116" i="15"/>
  <c r="I141" i="15"/>
  <c r="I140" i="15"/>
  <c r="I125" i="15"/>
  <c r="I100" i="15"/>
  <c r="K318" i="15"/>
  <c r="I102" i="15"/>
  <c r="I142" i="15"/>
  <c r="I36" i="15"/>
  <c r="I101" i="15"/>
  <c r="I82" i="15"/>
  <c r="Q51" i="8"/>
  <c r="Q52" i="8" s="1"/>
  <c r="I290" i="15"/>
  <c r="I418" i="15" s="1"/>
  <c r="L401" i="15"/>
  <c r="BH165" i="12"/>
  <c r="E7" i="4"/>
  <c r="L37" i="14"/>
  <c r="H32" i="15"/>
  <c r="E182" i="27"/>
  <c r="I124" i="15"/>
  <c r="I77" i="15"/>
  <c r="M77" i="15" s="1"/>
  <c r="Q77" i="15" s="1"/>
  <c r="I78" i="15"/>
  <c r="I135" i="15"/>
  <c r="I133" i="15"/>
  <c r="I107" i="15"/>
  <c r="I136" i="15"/>
  <c r="I126" i="15"/>
  <c r="I18" i="15"/>
  <c r="I30" i="15" s="1"/>
  <c r="I120" i="15"/>
  <c r="I98" i="15"/>
  <c r="I103" i="15"/>
  <c r="I148" i="15"/>
  <c r="K139" i="15"/>
  <c r="G28" i="14"/>
  <c r="J182" i="30"/>
  <c r="I97" i="15"/>
  <c r="K32" i="14"/>
  <c r="I114" i="15"/>
  <c r="I106" i="15"/>
  <c r="I134" i="15"/>
  <c r="I17" i="15"/>
  <c r="I99" i="15"/>
  <c r="I130" i="15"/>
  <c r="I147" i="15" s="1"/>
  <c r="I172" i="15"/>
  <c r="I108" i="15" s="1"/>
  <c r="I112" i="15" s="1"/>
  <c r="I119" i="15"/>
  <c r="I138" i="15"/>
  <c r="I79" i="15"/>
  <c r="I51" i="15"/>
  <c r="I52" i="15" s="1"/>
  <c r="I104" i="15"/>
  <c r="I137" i="15"/>
  <c r="I15" i="15"/>
  <c r="I27" i="15" s="1"/>
  <c r="I33" i="15" s="1"/>
  <c r="L32" i="14"/>
  <c r="I76" i="15"/>
  <c r="I279" i="15"/>
  <c r="I407" i="15" s="1"/>
  <c r="H28" i="15"/>
  <c r="F16" i="14"/>
  <c r="G39" i="14" s="1"/>
  <c r="G145" i="14" s="1"/>
  <c r="I171" i="15"/>
  <c r="L35" i="14"/>
  <c r="L43" i="14" s="1"/>
  <c r="I292" i="15"/>
  <c r="I420" i="15" s="1"/>
  <c r="Q39" i="14"/>
  <c r="K32" i="15"/>
  <c r="Q159" i="8"/>
  <c r="Q121" i="8"/>
  <c r="F116" i="8"/>
  <c r="J292" i="15"/>
  <c r="J420" i="15" s="1"/>
  <c r="H38" i="15"/>
  <c r="H41" i="15"/>
  <c r="L39" i="15"/>
  <c r="G317" i="14"/>
  <c r="G441" i="14" s="1"/>
  <c r="G67" i="14" s="1"/>
  <c r="G422" i="14"/>
  <c r="G65" i="14" s="1"/>
  <c r="G42" i="14" s="1"/>
  <c r="H182" i="29"/>
  <c r="J171" i="15"/>
  <c r="J283" i="15"/>
  <c r="J411" i="15" s="1"/>
  <c r="Q38" i="14"/>
  <c r="Q16" i="14"/>
  <c r="Q40" i="14"/>
  <c r="L76" i="15"/>
  <c r="P76" i="15" s="1"/>
  <c r="P80" i="15" s="1"/>
  <c r="Q164" i="33"/>
  <c r="D164" i="33" s="1"/>
  <c r="Q15" i="8"/>
  <c r="Q35" i="8" s="1"/>
  <c r="Q43" i="8" s="1"/>
  <c r="Q155" i="8"/>
  <c r="Q113" i="8"/>
  <c r="Q122" i="8" s="1"/>
  <c r="J279" i="15"/>
  <c r="J407" i="15" s="1"/>
  <c r="H29" i="15"/>
  <c r="H27" i="15"/>
  <c r="H110" i="15" s="1"/>
  <c r="H16" i="15"/>
  <c r="I39" i="15" s="1"/>
  <c r="E181" i="26"/>
  <c r="E182" i="26" s="1"/>
  <c r="F182" i="28"/>
  <c r="F113" i="28" s="1"/>
  <c r="I181" i="29"/>
  <c r="I182" i="29" s="1"/>
  <c r="J275" i="15"/>
  <c r="J403" i="15" s="1"/>
  <c r="Q41" i="14"/>
  <c r="Q35" i="14"/>
  <c r="Q110" i="14" s="1"/>
  <c r="Q37" i="14"/>
  <c r="BR69" i="12"/>
  <c r="BR68" i="12"/>
  <c r="BR91" i="12"/>
  <c r="BR93" i="12"/>
  <c r="BR127" i="12"/>
  <c r="BR145" i="12"/>
  <c r="BR95" i="12"/>
  <c r="BR97" i="12"/>
  <c r="BR101" i="12"/>
  <c r="BU68" i="12"/>
  <c r="BU70" i="12"/>
  <c r="BU97" i="12"/>
  <c r="BU69" i="12"/>
  <c r="BE121" i="12"/>
  <c r="BE127" i="12"/>
  <c r="BE104" i="12"/>
  <c r="E166" i="28"/>
  <c r="AQ146" i="12" s="1"/>
  <c r="E147" i="28"/>
  <c r="AQ127" i="12" s="1"/>
  <c r="E144" i="28"/>
  <c r="AQ124" i="12" s="1"/>
  <c r="E165" i="28"/>
  <c r="E143" i="28"/>
  <c r="AQ123" i="12" s="1"/>
  <c r="E135" i="28"/>
  <c r="AQ115" i="12" s="1"/>
  <c r="E119" i="28"/>
  <c r="AQ99" i="12" s="1"/>
  <c r="E167" i="28"/>
  <c r="AQ147" i="12" s="1"/>
  <c r="E146" i="28"/>
  <c r="AQ126" i="12" s="1"/>
  <c r="E142" i="28"/>
  <c r="AQ122" i="12" s="1"/>
  <c r="AQ93" i="12"/>
  <c r="E86" i="28"/>
  <c r="AQ67" i="12" s="1"/>
  <c r="E88" i="28"/>
  <c r="AQ69" i="12" s="1"/>
  <c r="BS90" i="12"/>
  <c r="BS92" i="12"/>
  <c r="BS97" i="12"/>
  <c r="BS101" i="12"/>
  <c r="BS115" i="12"/>
  <c r="BS93" i="12"/>
  <c r="BS147" i="12"/>
  <c r="BS127" i="12"/>
  <c r="BS145" i="12"/>
  <c r="E166" i="30"/>
  <c r="BQ146" i="12" s="1"/>
  <c r="E147" i="30"/>
  <c r="BQ127" i="12" s="1"/>
  <c r="E144" i="30"/>
  <c r="BQ124" i="12" s="1"/>
  <c r="E141" i="30"/>
  <c r="E115" i="30"/>
  <c r="BQ95" i="12" s="1"/>
  <c r="E117" i="30"/>
  <c r="BQ97" i="12" s="1"/>
  <c r="E116" i="30"/>
  <c r="BQ96" i="12" s="1"/>
  <c r="BQ91" i="12"/>
  <c r="E167" i="30"/>
  <c r="BQ147" i="12" s="1"/>
  <c r="E146" i="30"/>
  <c r="BQ126" i="12" s="1"/>
  <c r="E142" i="30"/>
  <c r="BQ122" i="12" s="1"/>
  <c r="BQ101" i="12"/>
  <c r="BQ93" i="12"/>
  <c r="BQ92" i="12"/>
  <c r="E165" i="30"/>
  <c r="BQ145" i="12" s="1"/>
  <c r="E143" i="30"/>
  <c r="BQ123" i="12" s="1"/>
  <c r="E135" i="30"/>
  <c r="E119" i="30"/>
  <c r="BQ99" i="12" s="1"/>
  <c r="E86" i="30"/>
  <c r="BQ67" i="12" s="1"/>
  <c r="E88" i="30"/>
  <c r="BQ69" i="12" s="1"/>
  <c r="E90" i="30"/>
  <c r="BQ71" i="12" s="1"/>
  <c r="E89" i="30"/>
  <c r="BQ70" i="12" s="1"/>
  <c r="BF70" i="12"/>
  <c r="E167" i="29"/>
  <c r="BD147" i="12" s="1"/>
  <c r="E165" i="29"/>
  <c r="BD145" i="12" s="1"/>
  <c r="E146" i="29"/>
  <c r="BD126" i="12" s="1"/>
  <c r="E143" i="29"/>
  <c r="BD123" i="12" s="1"/>
  <c r="E142" i="29"/>
  <c r="BD122" i="12" s="1"/>
  <c r="E135" i="29"/>
  <c r="BD115" i="12" s="1"/>
  <c r="E119" i="29"/>
  <c r="BD99" i="12" s="1"/>
  <c r="BD93" i="12"/>
  <c r="E166" i="29"/>
  <c r="BD146" i="12" s="1"/>
  <c r="E144" i="29"/>
  <c r="BD124" i="12" s="1"/>
  <c r="E141" i="29"/>
  <c r="BD121" i="12" s="1"/>
  <c r="BD116" i="12"/>
  <c r="E115" i="29"/>
  <c r="BD95" i="12" s="1"/>
  <c r="E147" i="29"/>
  <c r="BD127" i="12" s="1"/>
  <c r="E117" i="29"/>
  <c r="BD97" i="12" s="1"/>
  <c r="E116" i="29"/>
  <c r="BD96" i="12" s="1"/>
  <c r="BD68" i="12"/>
  <c r="E89" i="29"/>
  <c r="BD70" i="12" s="1"/>
  <c r="E86" i="29"/>
  <c r="BD67" i="12" s="1"/>
  <c r="E88" i="29"/>
  <c r="BD69" i="12" s="1"/>
  <c r="E90" i="29"/>
  <c r="BD71" i="12" s="1"/>
  <c r="BT71" i="12"/>
  <c r="BT91" i="12"/>
  <c r="BT104" i="12"/>
  <c r="BT122" i="12"/>
  <c r="BT124" i="12"/>
  <c r="BT127" i="12"/>
  <c r="BT147" i="12"/>
  <c r="BT92" i="12"/>
  <c r="BT97" i="12"/>
  <c r="BT101" i="12"/>
  <c r="BT117" i="12"/>
  <c r="BT146" i="12"/>
  <c r="F205" i="27"/>
  <c r="F29" i="4" s="1"/>
  <c r="E205" i="27"/>
  <c r="E29" i="4" s="1"/>
  <c r="K6" i="27"/>
  <c r="G11" i="29"/>
  <c r="K6" i="28"/>
  <c r="G20" i="29"/>
  <c r="H9" i="26"/>
  <c r="I9" i="26" s="1"/>
  <c r="I11" i="30"/>
  <c r="H205" i="30"/>
  <c r="H62" i="4" s="1"/>
  <c r="H9" i="29"/>
  <c r="I9" i="29" s="1"/>
  <c r="BR169" i="12"/>
  <c r="E30" i="21" s="1"/>
  <c r="E39" i="21" s="1"/>
  <c r="BQ169" i="12"/>
  <c r="D30" i="21" s="1"/>
  <c r="D39" i="21" s="1"/>
  <c r="AU168" i="12"/>
  <c r="J7" i="28"/>
  <c r="G9" i="28"/>
  <c r="K6" i="30"/>
  <c r="J87" i="15"/>
  <c r="J144" i="15"/>
  <c r="J93" i="15"/>
  <c r="J115" i="15"/>
  <c r="J126" i="15"/>
  <c r="M113" i="8"/>
  <c r="M122" i="8" s="1"/>
  <c r="M114" i="8"/>
  <c r="F141" i="8"/>
  <c r="F36" i="8"/>
  <c r="F136" i="8"/>
  <c r="Q182" i="14"/>
  <c r="G41" i="14"/>
  <c r="G37" i="14"/>
  <c r="M41" i="14"/>
  <c r="N27" i="14"/>
  <c r="N33" i="14" s="1"/>
  <c r="N35" i="14"/>
  <c r="N43" i="14" s="1"/>
  <c r="N16" i="14"/>
  <c r="O39" i="14" s="1"/>
  <c r="N37" i="14"/>
  <c r="K35" i="15"/>
  <c r="K43" i="15" s="1"/>
  <c r="K41" i="15"/>
  <c r="F165" i="8"/>
  <c r="M116" i="8"/>
  <c r="J119" i="15"/>
  <c r="J103" i="15"/>
  <c r="N40" i="14"/>
  <c r="K27" i="15"/>
  <c r="G27" i="14"/>
  <c r="G33" i="14" s="1"/>
  <c r="BI166" i="12"/>
  <c r="I20" i="21" s="1"/>
  <c r="M38" i="14"/>
  <c r="K37" i="15"/>
  <c r="F6" i="4"/>
  <c r="S20" i="33"/>
  <c r="R20" i="33"/>
  <c r="H17" i="30"/>
  <c r="H23" i="30" s="1"/>
  <c r="H84" i="30" s="1"/>
  <c r="F17" i="30"/>
  <c r="F23" i="30" s="1"/>
  <c r="F84" i="30" s="1"/>
  <c r="E26" i="29"/>
  <c r="F19" i="29"/>
  <c r="G17" i="30"/>
  <c r="G23" i="30" s="1"/>
  <c r="G83" i="30" s="1"/>
  <c r="G35" i="32" s="1"/>
  <c r="E20" i="30"/>
  <c r="I19" i="30"/>
  <c r="E218" i="26"/>
  <c r="AD27" i="33"/>
  <c r="E218" i="32"/>
  <c r="K193" i="26"/>
  <c r="F209" i="27"/>
  <c r="F43" i="27" s="1"/>
  <c r="F211" i="27"/>
  <c r="F215" i="27"/>
  <c r="F217" i="27"/>
  <c r="F212" i="27"/>
  <c r="F214" i="27"/>
  <c r="F216" i="27"/>
  <c r="F210" i="27"/>
  <c r="F46" i="27" s="1"/>
  <c r="K194" i="32"/>
  <c r="N195" i="32"/>
  <c r="K189" i="26"/>
  <c r="J203" i="26"/>
  <c r="N193" i="32"/>
  <c r="H5" i="30"/>
  <c r="H86" i="30" s="1"/>
  <c r="BT67" i="12" s="1"/>
  <c r="G213" i="30"/>
  <c r="G212" i="30"/>
  <c r="G209" i="30"/>
  <c r="G42" i="30" s="1"/>
  <c r="G44" i="30" s="1"/>
  <c r="G211" i="30"/>
  <c r="G48" i="30" s="1"/>
  <c r="G50" i="30" s="1"/>
  <c r="G215" i="30"/>
  <c r="G217" i="30"/>
  <c r="G214" i="30"/>
  <c r="G210" i="30"/>
  <c r="G46" i="30" s="1"/>
  <c r="G216" i="30"/>
  <c r="E205" i="32"/>
  <c r="L192" i="32"/>
  <c r="M192" i="32" s="1"/>
  <c r="G5" i="32"/>
  <c r="F213" i="32"/>
  <c r="F212" i="32"/>
  <c r="F209" i="32"/>
  <c r="F211" i="32"/>
  <c r="F214" i="32"/>
  <c r="F216" i="32"/>
  <c r="F210" i="32"/>
  <c r="F217" i="32"/>
  <c r="F215" i="32"/>
  <c r="J188" i="27"/>
  <c r="J28" i="4" s="1"/>
  <c r="H204" i="27"/>
  <c r="F213" i="28"/>
  <c r="F212" i="28"/>
  <c r="F210" i="28"/>
  <c r="F46" i="28" s="1"/>
  <c r="F214" i="28"/>
  <c r="F216" i="28"/>
  <c r="F209" i="28"/>
  <c r="F215" i="28"/>
  <c r="F217" i="28"/>
  <c r="F211" i="28"/>
  <c r="L199" i="28"/>
  <c r="L200" i="28" s="1"/>
  <c r="N202" i="30"/>
  <c r="BZ170" i="12" s="1"/>
  <c r="E218" i="30"/>
  <c r="K190" i="32"/>
  <c r="J195" i="26"/>
  <c r="I202" i="28"/>
  <c r="AU170" i="12" s="1"/>
  <c r="O203" i="30"/>
  <c r="J189" i="32"/>
  <c r="G5" i="29"/>
  <c r="G94" i="29" s="1"/>
  <c r="F213" i="29"/>
  <c r="F212" i="29"/>
  <c r="F209" i="29"/>
  <c r="F42" i="29" s="1"/>
  <c r="F44" i="29" s="1"/>
  <c r="F211" i="29"/>
  <c r="F48" i="29" s="1"/>
  <c r="F50" i="29" s="1"/>
  <c r="F215" i="29"/>
  <c r="F210" i="29"/>
  <c r="F46" i="29" s="1"/>
  <c r="F217" i="29"/>
  <c r="F216" i="29"/>
  <c r="F214" i="29"/>
  <c r="J40" i="21"/>
  <c r="N190" i="29"/>
  <c r="BJ168" i="12"/>
  <c r="L199" i="29"/>
  <c r="L200" i="29" s="1"/>
  <c r="Q165" i="8"/>
  <c r="Q17" i="8"/>
  <c r="Q161" i="8"/>
  <c r="Q157" i="8"/>
  <c r="Q153" i="8"/>
  <c r="Q131" i="8"/>
  <c r="Q117" i="8"/>
  <c r="F150" i="8"/>
  <c r="F189" i="8"/>
  <c r="F125" i="8" s="1"/>
  <c r="F129" i="8" s="1"/>
  <c r="F104" i="8"/>
  <c r="G90" i="14"/>
  <c r="E17" i="30"/>
  <c r="E23" i="30" s="1"/>
  <c r="E84" i="30" s="1"/>
  <c r="N331" i="8"/>
  <c r="Q331" i="8"/>
  <c r="F115" i="8"/>
  <c r="J51" i="15"/>
  <c r="J52" i="15" s="1"/>
  <c r="J97" i="15"/>
  <c r="J100" i="15"/>
  <c r="J17" i="15"/>
  <c r="J135" i="15"/>
  <c r="J83" i="15"/>
  <c r="J15" i="15"/>
  <c r="J16" i="15" s="1"/>
  <c r="J132" i="15"/>
  <c r="K178" i="15"/>
  <c r="K180" i="15" s="1"/>
  <c r="K183" i="15" s="1"/>
  <c r="K401" i="15"/>
  <c r="F37" i="14"/>
  <c r="F27" i="14"/>
  <c r="F110" i="14" s="1"/>
  <c r="F28" i="14"/>
  <c r="F38" i="14"/>
  <c r="F145" i="14" s="1"/>
  <c r="F29" i="14"/>
  <c r="F41" i="14"/>
  <c r="O41" i="14"/>
  <c r="O38" i="14"/>
  <c r="F117" i="8"/>
  <c r="F161" i="8"/>
  <c r="F159" i="8"/>
  <c r="F82" i="8"/>
  <c r="F110" i="8"/>
  <c r="F111" i="8" s="1"/>
  <c r="F120" i="8"/>
  <c r="F132" i="8"/>
  <c r="F143" i="8"/>
  <c r="F154" i="8"/>
  <c r="N313" i="14"/>
  <c r="M27" i="14"/>
  <c r="M33" i="14" s="1"/>
  <c r="M16" i="14"/>
  <c r="N39" i="14" s="1"/>
  <c r="G35" i="14"/>
  <c r="G43" i="14" s="1"/>
  <c r="G16" i="14"/>
  <c r="H39" i="14" s="1"/>
  <c r="H145" i="14" s="1"/>
  <c r="M35" i="14"/>
  <c r="M43" i="14" s="1"/>
  <c r="M37" i="14"/>
  <c r="G80" i="15"/>
  <c r="K76" i="15"/>
  <c r="M154" i="8"/>
  <c r="M157" i="8"/>
  <c r="E19" i="30"/>
  <c r="K156" i="8"/>
  <c r="E20" i="29"/>
  <c r="F337" i="8"/>
  <c r="F63" i="8" s="1"/>
  <c r="F66" i="8" s="1"/>
  <c r="F69" i="8" s="1"/>
  <c r="F331" i="8"/>
  <c r="O251" i="8"/>
  <c r="H317" i="14"/>
  <c r="H441" i="14" s="1"/>
  <c r="H139" i="14"/>
  <c r="H88" i="14"/>
  <c r="H90" i="14"/>
  <c r="M121" i="8"/>
  <c r="M51" i="8"/>
  <c r="M52" i="8" s="1"/>
  <c r="M132" i="8"/>
  <c r="I111" i="14"/>
  <c r="I88" i="14"/>
  <c r="G29" i="15"/>
  <c r="G41" i="15"/>
  <c r="G28" i="15"/>
  <c r="O178" i="15"/>
  <c r="O180" i="15" s="1"/>
  <c r="O184" i="15" s="1"/>
  <c r="O143" i="15" s="1"/>
  <c r="F89" i="14"/>
  <c r="F88" i="14"/>
  <c r="F32" i="14"/>
  <c r="P53" i="14"/>
  <c r="P146" i="14" s="1"/>
  <c r="J86" i="15"/>
  <c r="J91" i="15" s="1"/>
  <c r="J81" i="15"/>
  <c r="J84" i="15" s="1"/>
  <c r="J76" i="15"/>
  <c r="J114" i="15"/>
  <c r="J113" i="15"/>
  <c r="J123" i="15" s="1"/>
  <c r="J140" i="15"/>
  <c r="J101" i="15"/>
  <c r="J106" i="15"/>
  <c r="J142" i="15"/>
  <c r="J99" i="15"/>
  <c r="J102" i="15"/>
  <c r="J120" i="15"/>
  <c r="J148" i="15"/>
  <c r="N182" i="14"/>
  <c r="I20" i="30"/>
  <c r="K77" i="15"/>
  <c r="O77" i="15" s="1"/>
  <c r="G313" i="14"/>
  <c r="G183" i="14" s="1"/>
  <c r="H313" i="15"/>
  <c r="G38" i="15"/>
  <c r="H74" i="15"/>
  <c r="G139" i="15"/>
  <c r="I89" i="14"/>
  <c r="J133" i="15"/>
  <c r="J141" i="15"/>
  <c r="H337" i="8"/>
  <c r="H63" i="8" s="1"/>
  <c r="H66" i="8" s="1"/>
  <c r="H69" i="8" s="1"/>
  <c r="G88" i="14"/>
  <c r="G184" i="14"/>
  <c r="G143" i="14" s="1"/>
  <c r="P111" i="15"/>
  <c r="N139" i="15"/>
  <c r="N202" i="32"/>
  <c r="AM170" i="33" s="1"/>
  <c r="J202" i="32"/>
  <c r="AI170" i="33" s="1"/>
  <c r="O38" i="15"/>
  <c r="P139" i="15"/>
  <c r="O202" i="32"/>
  <c r="AN170" i="33" s="1"/>
  <c r="P313" i="15"/>
  <c r="P183" i="15" s="1"/>
  <c r="BF169" i="12"/>
  <c r="J6" i="29"/>
  <c r="I7" i="29"/>
  <c r="J8" i="29"/>
  <c r="L202" i="29"/>
  <c r="M191" i="29"/>
  <c r="M195" i="29"/>
  <c r="J10" i="29"/>
  <c r="BH169" i="12"/>
  <c r="BI170" i="12"/>
  <c r="BJ170" i="12"/>
  <c r="N194" i="29"/>
  <c r="P4" i="29"/>
  <c r="BE169" i="12"/>
  <c r="E29" i="21" s="1"/>
  <c r="E38" i="21" s="1"/>
  <c r="F17" i="29"/>
  <c r="F20" i="29"/>
  <c r="E218" i="29"/>
  <c r="BG169" i="12"/>
  <c r="H205" i="29"/>
  <c r="H51" i="4" s="1"/>
  <c r="J204" i="29"/>
  <c r="L197" i="29"/>
  <c r="L203" i="29"/>
  <c r="M193" i="29"/>
  <c r="G205" i="29"/>
  <c r="G51" i="4" s="1"/>
  <c r="I205" i="29"/>
  <c r="I51" i="4" s="1"/>
  <c r="K204" i="29"/>
  <c r="N192" i="29"/>
  <c r="BD169" i="12"/>
  <c r="BU169" i="12"/>
  <c r="H30" i="21" s="1"/>
  <c r="H39" i="21" s="1"/>
  <c r="M199" i="30"/>
  <c r="M200" i="30" s="1"/>
  <c r="M197" i="30"/>
  <c r="BS169" i="12"/>
  <c r="F30" i="21" s="1"/>
  <c r="F39" i="21" s="1"/>
  <c r="I17" i="30"/>
  <c r="I23" i="30" s="1"/>
  <c r="I84" i="30" s="1"/>
  <c r="J205" i="30"/>
  <c r="J62" i="4" s="1"/>
  <c r="BV169" i="12"/>
  <c r="I30" i="21" s="1"/>
  <c r="I39" i="21" s="1"/>
  <c r="M10" i="30"/>
  <c r="K4" i="30"/>
  <c r="I9" i="30"/>
  <c r="I79" i="30" s="1"/>
  <c r="J8" i="30"/>
  <c r="I205" i="30"/>
  <c r="I62" i="4" s="1"/>
  <c r="BT169" i="12"/>
  <c r="G40" i="21" s="1"/>
  <c r="AQ169" i="12"/>
  <c r="E218" i="28"/>
  <c r="G5" i="28"/>
  <c r="E205" i="28"/>
  <c r="E40" i="4" s="1"/>
  <c r="H204" i="28"/>
  <c r="J197" i="28"/>
  <c r="J203" i="28"/>
  <c r="J202" i="28"/>
  <c r="K191" i="28"/>
  <c r="K193" i="28"/>
  <c r="K195" i="28"/>
  <c r="L190" i="28"/>
  <c r="L4" i="28"/>
  <c r="F205" i="28"/>
  <c r="F40" i="4" s="1"/>
  <c r="AR169" i="12"/>
  <c r="K192" i="28"/>
  <c r="K194" i="28"/>
  <c r="K196" i="28"/>
  <c r="K8" i="28"/>
  <c r="H11" i="28"/>
  <c r="I10" i="28"/>
  <c r="AS169" i="12"/>
  <c r="AW168" i="12"/>
  <c r="E218" i="27"/>
  <c r="J10" i="27"/>
  <c r="J192" i="27"/>
  <c r="J194" i="27"/>
  <c r="J196" i="27"/>
  <c r="L190" i="27"/>
  <c r="K188" i="27"/>
  <c r="K28" i="4" s="1"/>
  <c r="J193" i="27"/>
  <c r="L203" i="27"/>
  <c r="M189" i="27"/>
  <c r="G5" i="27"/>
  <c r="AE169" i="12"/>
  <c r="AD169" i="12"/>
  <c r="G205" i="27"/>
  <c r="G29" i="4" s="1"/>
  <c r="AF169" i="12"/>
  <c r="H11" i="27"/>
  <c r="AH168" i="12"/>
  <c r="I202" i="27"/>
  <c r="AH170" i="12" s="1"/>
  <c r="I197" i="27"/>
  <c r="J191" i="27"/>
  <c r="J195" i="27"/>
  <c r="I8" i="27"/>
  <c r="H9" i="27"/>
  <c r="K4" i="27"/>
  <c r="G11" i="32"/>
  <c r="L202" i="32"/>
  <c r="AK170" i="33" s="1"/>
  <c r="G205" i="32"/>
  <c r="R169" i="12"/>
  <c r="S169" i="12"/>
  <c r="G205" i="26"/>
  <c r="G18" i="4" s="1"/>
  <c r="I10" i="26"/>
  <c r="J8" i="26"/>
  <c r="K6" i="26"/>
  <c r="U168" i="12"/>
  <c r="J194" i="26"/>
  <c r="K192" i="26"/>
  <c r="K191" i="26"/>
  <c r="J202" i="26"/>
  <c r="V170" i="12" s="1"/>
  <c r="F205" i="26"/>
  <c r="F18" i="4" s="1"/>
  <c r="G11" i="26"/>
  <c r="E205" i="26"/>
  <c r="E18" i="4" s="1"/>
  <c r="E185" i="32" s="1"/>
  <c r="E95" i="32" s="1"/>
  <c r="AD76" i="33" s="1"/>
  <c r="Q169" i="12"/>
  <c r="I197" i="26"/>
  <c r="J4" i="26"/>
  <c r="J196" i="26"/>
  <c r="K190" i="26"/>
  <c r="G9" i="32"/>
  <c r="AE169" i="33"/>
  <c r="AE171" i="33" s="1"/>
  <c r="H204" i="32"/>
  <c r="I202" i="32"/>
  <c r="K188" i="32"/>
  <c r="F205" i="32"/>
  <c r="F161" i="32" s="1"/>
  <c r="M8" i="32"/>
  <c r="O10" i="32"/>
  <c r="J196" i="32"/>
  <c r="J197" i="32" s="1"/>
  <c r="J4" i="32"/>
  <c r="I7" i="32"/>
  <c r="Q115" i="8"/>
  <c r="Q119" i="8"/>
  <c r="Q124" i="8"/>
  <c r="Q133" i="8"/>
  <c r="Q138" i="8"/>
  <c r="Q147" i="8"/>
  <c r="Q164" i="8" s="1"/>
  <c r="Q151" i="8"/>
  <c r="H89" i="14"/>
  <c r="H19" i="30"/>
  <c r="H318" i="15"/>
  <c r="H441" i="15" s="1"/>
  <c r="H313" i="14"/>
  <c r="G89" i="14"/>
  <c r="G313" i="15"/>
  <c r="J98" i="15"/>
  <c r="J36" i="15"/>
  <c r="J107" i="15"/>
  <c r="J78" i="15"/>
  <c r="J137" i="15"/>
  <c r="J82" i="15"/>
  <c r="F111" i="14"/>
  <c r="I90" i="14"/>
  <c r="L27" i="14"/>
  <c r="L33" i="14" s="1"/>
  <c r="F184" i="14"/>
  <c r="F71" i="14" s="1"/>
  <c r="O40" i="15"/>
  <c r="L41" i="14"/>
  <c r="L16" i="14"/>
  <c r="M39" i="14" s="1"/>
  <c r="L38" i="14"/>
  <c r="M18" i="8"/>
  <c r="O30" i="8" s="1"/>
  <c r="M106" i="8"/>
  <c r="M115" i="8"/>
  <c r="M119" i="8"/>
  <c r="M124" i="8"/>
  <c r="M133" i="8"/>
  <c r="M138" i="8"/>
  <c r="M147" i="8"/>
  <c r="M164" i="8" s="1"/>
  <c r="M151" i="8"/>
  <c r="M155" i="8"/>
  <c r="M159" i="8"/>
  <c r="M36" i="8"/>
  <c r="M165" i="8"/>
  <c r="M105" i="8"/>
  <c r="M118" i="8"/>
  <c r="M127" i="8"/>
  <c r="M137" i="8"/>
  <c r="M150" i="8"/>
  <c r="M158" i="8"/>
  <c r="M148" i="8"/>
  <c r="M189" i="8"/>
  <c r="M125" i="8" s="1"/>
  <c r="M129" i="8" s="1"/>
  <c r="M15" i="8"/>
  <c r="M38" i="8" s="1"/>
  <c r="K37" i="14"/>
  <c r="K38" i="14"/>
  <c r="K41" i="14"/>
  <c r="F18" i="8"/>
  <c r="H30" i="8" s="1"/>
  <c r="F78" i="8"/>
  <c r="F113" i="8"/>
  <c r="F122" i="8" s="1"/>
  <c r="F121" i="8"/>
  <c r="F135" i="8"/>
  <c r="F149" i="8"/>
  <c r="F157" i="8"/>
  <c r="F151" i="8"/>
  <c r="F124" i="8"/>
  <c r="F81" i="8"/>
  <c r="F89" i="8" s="1"/>
  <c r="F51" i="8"/>
  <c r="F52" i="8" s="1"/>
  <c r="F79" i="8"/>
  <c r="L139" i="15"/>
  <c r="L318" i="15"/>
  <c r="L441" i="15" s="1"/>
  <c r="E19" i="29"/>
  <c r="G19" i="29"/>
  <c r="F17" i="8"/>
  <c r="F158" i="8"/>
  <c r="F152" i="8"/>
  <c r="F148" i="8"/>
  <c r="F138" i="8"/>
  <c r="F134" i="8"/>
  <c r="F130" i="8"/>
  <c r="F140" i="8" s="1"/>
  <c r="F123" i="8"/>
  <c r="F118" i="8"/>
  <c r="F114" i="8"/>
  <c r="F106" i="8"/>
  <c r="F92" i="8"/>
  <c r="F77" i="8"/>
  <c r="M135" i="8"/>
  <c r="M17" i="8"/>
  <c r="M143" i="8"/>
  <c r="M78" i="8"/>
  <c r="M161" i="8"/>
  <c r="M153" i="8"/>
  <c r="M131" i="8"/>
  <c r="M117" i="8"/>
  <c r="M104" i="8"/>
  <c r="F422" i="14"/>
  <c r="F65" i="14" s="1"/>
  <c r="F42" i="14" s="1"/>
  <c r="F69" i="14"/>
  <c r="P110" i="14"/>
  <c r="F137" i="8"/>
  <c r="F153" i="8"/>
  <c r="F131" i="8"/>
  <c r="F91" i="8"/>
  <c r="F108" i="8" s="1"/>
  <c r="M139" i="14"/>
  <c r="M313" i="14"/>
  <c r="K16" i="14"/>
  <c r="L39" i="14" s="1"/>
  <c r="O35" i="14"/>
  <c r="O43" i="14" s="1"/>
  <c r="O27" i="14"/>
  <c r="O40" i="14"/>
  <c r="O37" i="14"/>
  <c r="H439" i="8"/>
  <c r="H65" i="8" s="1"/>
  <c r="H42" i="8" s="1"/>
  <c r="H199" i="8"/>
  <c r="H422" i="14"/>
  <c r="H182" i="14"/>
  <c r="H184" i="14" s="1"/>
  <c r="H143" i="14" s="1"/>
  <c r="F76" i="8"/>
  <c r="F80" i="8" s="1"/>
  <c r="F119" i="8"/>
  <c r="F147" i="8"/>
  <c r="F164" i="8" s="1"/>
  <c r="F105" i="8"/>
  <c r="F155" i="8"/>
  <c r="F15" i="8"/>
  <c r="F133" i="8"/>
  <c r="G37" i="15"/>
  <c r="G27" i="15"/>
  <c r="G33" i="15" s="1"/>
  <c r="G53" i="15" s="1"/>
  <c r="G146" i="15" s="1"/>
  <c r="H178" i="15"/>
  <c r="H180" i="15" s="1"/>
  <c r="H401" i="15"/>
  <c r="H56" i="15" s="1"/>
  <c r="H60" i="15" s="1"/>
  <c r="G32" i="15"/>
  <c r="G58" i="15"/>
  <c r="G441" i="15"/>
  <c r="K27" i="14"/>
  <c r="K35" i="14"/>
  <c r="K43" i="14" s="1"/>
  <c r="G401" i="15"/>
  <c r="G56" i="15" s="1"/>
  <c r="G60" i="15" s="1"/>
  <c r="G68" i="15" s="1"/>
  <c r="G75" i="15" s="1"/>
  <c r="G178" i="15"/>
  <c r="G180" i="15" s="1"/>
  <c r="O182" i="14"/>
  <c r="O184" i="14" s="1"/>
  <c r="O16" i="14"/>
  <c r="P39" i="14" s="1"/>
  <c r="P145" i="14" s="1"/>
  <c r="Q178" i="15"/>
  <c r="Q180" i="15" s="1"/>
  <c r="AT166" i="12"/>
  <c r="G19" i="21" s="1"/>
  <c r="O313" i="14"/>
  <c r="H20" i="30"/>
  <c r="H32" i="14"/>
  <c r="M120" i="8"/>
  <c r="M139" i="8"/>
  <c r="M130" i="8"/>
  <c r="M140" i="8" s="1"/>
  <c r="M110" i="8"/>
  <c r="M152" i="8"/>
  <c r="K139" i="14"/>
  <c r="K313" i="14"/>
  <c r="O250" i="8"/>
  <c r="L199" i="8"/>
  <c r="H29" i="14"/>
  <c r="H16" i="14"/>
  <c r="I39" i="14" s="1"/>
  <c r="H37" i="14"/>
  <c r="H41" i="14"/>
  <c r="H27" i="14"/>
  <c r="H28" i="14"/>
  <c r="H35" i="14"/>
  <c r="H43" i="14" s="1"/>
  <c r="P182" i="14"/>
  <c r="L139" i="14"/>
  <c r="L313" i="14"/>
  <c r="J118" i="15"/>
  <c r="J121" i="15"/>
  <c r="J104" i="15"/>
  <c r="J125" i="15"/>
  <c r="J116" i="15"/>
  <c r="J138" i="15"/>
  <c r="J122" i="15"/>
  <c r="J134" i="15"/>
  <c r="J77" i="15"/>
  <c r="N77" i="15" s="1"/>
  <c r="J172" i="15"/>
  <c r="J108" i="15" s="1"/>
  <c r="J112" i="15" s="1"/>
  <c r="J130" i="15"/>
  <c r="J147" i="15" s="1"/>
  <c r="J96" i="15"/>
  <c r="J105" i="15" s="1"/>
  <c r="J18" i="15"/>
  <c r="J30" i="15" s="1"/>
  <c r="J131" i="15"/>
  <c r="J124" i="15"/>
  <c r="J79" i="15"/>
  <c r="I74" i="15"/>
  <c r="I69" i="15"/>
  <c r="J276" i="15"/>
  <c r="J404" i="15" s="1"/>
  <c r="J280" i="15"/>
  <c r="J408" i="15" s="1"/>
  <c r="J284" i="15"/>
  <c r="J412" i="15" s="1"/>
  <c r="K15" i="8"/>
  <c r="K79" i="8"/>
  <c r="K82" i="8"/>
  <c r="K113" i="8"/>
  <c r="K122" i="8" s="1"/>
  <c r="K115" i="8"/>
  <c r="K117" i="8"/>
  <c r="K119" i="8"/>
  <c r="K121" i="8"/>
  <c r="K124" i="8"/>
  <c r="K130" i="8"/>
  <c r="K140" i="8" s="1"/>
  <c r="K132" i="8"/>
  <c r="K135" i="8"/>
  <c r="K137" i="8"/>
  <c r="K139" i="8"/>
  <c r="K143" i="8"/>
  <c r="K148" i="8"/>
  <c r="K150" i="8"/>
  <c r="K152" i="8"/>
  <c r="K154" i="8"/>
  <c r="K157" i="8"/>
  <c r="K159" i="8"/>
  <c r="K36" i="8"/>
  <c r="K165" i="8"/>
  <c r="K18" i="8"/>
  <c r="M30" i="8" s="1"/>
  <c r="K81" i="8"/>
  <c r="K89" i="8" s="1"/>
  <c r="K114" i="8"/>
  <c r="K118" i="8"/>
  <c r="K123" i="8"/>
  <c r="K127" i="8"/>
  <c r="K133" i="8"/>
  <c r="K138" i="8"/>
  <c r="K147" i="8"/>
  <c r="K164" i="8" s="1"/>
  <c r="K151" i="8"/>
  <c r="K155" i="8"/>
  <c r="K161" i="8"/>
  <c r="K17" i="8"/>
  <c r="K40" i="8" s="1"/>
  <c r="K78" i="8"/>
  <c r="K110" i="8"/>
  <c r="K116" i="8"/>
  <c r="K120" i="8"/>
  <c r="K189" i="8"/>
  <c r="K125" i="8" s="1"/>
  <c r="K129" i="8" s="1"/>
  <c r="K131" i="8"/>
  <c r="K136" i="8"/>
  <c r="K141" i="8"/>
  <c r="K149" i="8"/>
  <c r="K153" i="8"/>
  <c r="K158" i="8"/>
  <c r="K51" i="8"/>
  <c r="K52" i="8" s="1"/>
  <c r="N18" i="8"/>
  <c r="P30" i="8" s="1"/>
  <c r="N110" i="8"/>
  <c r="N114" i="8"/>
  <c r="N116" i="8"/>
  <c r="N118" i="8"/>
  <c r="N120" i="8"/>
  <c r="N189" i="8"/>
  <c r="N125" i="8" s="1"/>
  <c r="N129" i="8" s="1"/>
  <c r="N130" i="8"/>
  <c r="N140" i="8" s="1"/>
  <c r="N132" i="8"/>
  <c r="N135" i="8"/>
  <c r="N137" i="8"/>
  <c r="N139" i="8"/>
  <c r="N143" i="8"/>
  <c r="N148" i="8"/>
  <c r="N150" i="8"/>
  <c r="N152" i="8"/>
  <c r="N154" i="8"/>
  <c r="N158" i="8"/>
  <c r="N161" i="8"/>
  <c r="N17" i="8"/>
  <c r="N51" i="8"/>
  <c r="N52" i="8" s="1"/>
  <c r="N15" i="8"/>
  <c r="N78" i="8"/>
  <c r="N115" i="8"/>
  <c r="N119" i="8"/>
  <c r="N124" i="8"/>
  <c r="N131" i="8"/>
  <c r="N153" i="8"/>
  <c r="N157" i="8"/>
  <c r="N36" i="8"/>
  <c r="N113" i="8"/>
  <c r="N122" i="8" s="1"/>
  <c r="N117" i="8"/>
  <c r="N121" i="8"/>
  <c r="N127" i="8"/>
  <c r="N133" i="8"/>
  <c r="N138" i="8"/>
  <c r="N147" i="8"/>
  <c r="N164" i="8" s="1"/>
  <c r="N151" i="8"/>
  <c r="N155" i="8"/>
  <c r="N159" i="8"/>
  <c r="N165" i="8"/>
  <c r="Q199" i="8"/>
  <c r="O110" i="8"/>
  <c r="O114" i="8"/>
  <c r="O116" i="8"/>
  <c r="O118" i="8"/>
  <c r="O120" i="8"/>
  <c r="O189" i="8"/>
  <c r="O125" i="8" s="1"/>
  <c r="O129" i="8" s="1"/>
  <c r="O130" i="8"/>
  <c r="O140" i="8" s="1"/>
  <c r="O132" i="8"/>
  <c r="O135" i="8"/>
  <c r="O137" i="8"/>
  <c r="O139" i="8"/>
  <c r="O143" i="8"/>
  <c r="O148" i="8"/>
  <c r="O150" i="8"/>
  <c r="O152" i="8"/>
  <c r="O154" i="8"/>
  <c r="O157" i="8"/>
  <c r="O159" i="8"/>
  <c r="O113" i="8"/>
  <c r="O122" i="8" s="1"/>
  <c r="O117" i="8"/>
  <c r="O121" i="8"/>
  <c r="O127" i="8"/>
  <c r="O133" i="8"/>
  <c r="O138" i="8"/>
  <c r="O147" i="8"/>
  <c r="O164" i="8" s="1"/>
  <c r="O151" i="8"/>
  <c r="O155" i="8"/>
  <c r="O161" i="8"/>
  <c r="O17" i="8"/>
  <c r="O165" i="8"/>
  <c r="O18" i="8"/>
  <c r="Q30" i="8" s="1"/>
  <c r="O15" i="8"/>
  <c r="O119" i="8"/>
  <c r="O131" i="8"/>
  <c r="O153" i="8"/>
  <c r="O51" i="8"/>
  <c r="O52" i="8" s="1"/>
  <c r="O78" i="8"/>
  <c r="O115" i="8"/>
  <c r="O124" i="8"/>
  <c r="O158" i="8"/>
  <c r="O36" i="8"/>
  <c r="N178" i="15"/>
  <c r="N180" i="15" s="1"/>
  <c r="M240" i="8"/>
  <c r="L105" i="8"/>
  <c r="L106" i="8"/>
  <c r="L15" i="8"/>
  <c r="L78" i="8"/>
  <c r="L110" i="8"/>
  <c r="L114" i="8"/>
  <c r="L116" i="8"/>
  <c r="L118" i="8"/>
  <c r="L120" i="8"/>
  <c r="L189" i="8"/>
  <c r="L125" i="8" s="1"/>
  <c r="L129" i="8" s="1"/>
  <c r="L130" i="8"/>
  <c r="L140" i="8" s="1"/>
  <c r="L132" i="8"/>
  <c r="L135" i="8"/>
  <c r="L137" i="8"/>
  <c r="L139" i="8"/>
  <c r="L143" i="8"/>
  <c r="L148" i="8"/>
  <c r="L150" i="8"/>
  <c r="L152" i="8"/>
  <c r="L154" i="8"/>
  <c r="L157" i="8"/>
  <c r="L159" i="8"/>
  <c r="L36" i="8"/>
  <c r="L51" i="8"/>
  <c r="L52" i="8" s="1"/>
  <c r="L104" i="8"/>
  <c r="L113" i="8"/>
  <c r="L122" i="8" s="1"/>
  <c r="L117" i="8"/>
  <c r="L121" i="8"/>
  <c r="L127" i="8"/>
  <c r="L133" i="8"/>
  <c r="L138" i="8"/>
  <c r="L147" i="8"/>
  <c r="L164" i="8" s="1"/>
  <c r="L151" i="8"/>
  <c r="L155" i="8"/>
  <c r="L161" i="8"/>
  <c r="L17" i="8"/>
  <c r="L18" i="8"/>
  <c r="N30" i="8" s="1"/>
  <c r="L115" i="8"/>
  <c r="L119" i="8"/>
  <c r="L124" i="8"/>
  <c r="L131" i="8"/>
  <c r="L153" i="8"/>
  <c r="L158" i="8"/>
  <c r="L165" i="8"/>
  <c r="Q78" i="8"/>
  <c r="Q110" i="8"/>
  <c r="Q116" i="8"/>
  <c r="Q120" i="8"/>
  <c r="Q189" i="8"/>
  <c r="Q125" i="8" s="1"/>
  <c r="Q129" i="8" s="1"/>
  <c r="Q130" i="8"/>
  <c r="Q140" i="8" s="1"/>
  <c r="Q135" i="8"/>
  <c r="Q139" i="8"/>
  <c r="Q148" i="8"/>
  <c r="Q152" i="8"/>
  <c r="Q158" i="8"/>
  <c r="Q36" i="8"/>
  <c r="Q118" i="8"/>
  <c r="Q127" i="8"/>
  <c r="Q137" i="8"/>
  <c r="Q150" i="8"/>
  <c r="Q143" i="8"/>
  <c r="Q114" i="8"/>
  <c r="Q132" i="8"/>
  <c r="Q154" i="8"/>
  <c r="Q18" i="8"/>
  <c r="M313" i="15"/>
  <c r="M139" i="15"/>
  <c r="M241" i="8"/>
  <c r="O331" i="8"/>
  <c r="F199" i="8"/>
  <c r="F439" i="8"/>
  <c r="F65" i="8" s="1"/>
  <c r="F42" i="8" s="1"/>
  <c r="L235" i="8"/>
  <c r="G331" i="8"/>
  <c r="G337" i="8"/>
  <c r="G63" i="8" s="1"/>
  <c r="G66" i="8" s="1"/>
  <c r="K199" i="8"/>
  <c r="G199" i="8"/>
  <c r="G439" i="8"/>
  <c r="G65" i="8" s="1"/>
  <c r="G42" i="8" s="1"/>
  <c r="O37" i="15"/>
  <c r="F32" i="15"/>
  <c r="I32" i="8"/>
  <c r="AS165" i="12"/>
  <c r="G181" i="28"/>
  <c r="G182" i="28" s="1"/>
  <c r="L236" i="8"/>
  <c r="G20" i="30"/>
  <c r="G19" i="30"/>
  <c r="BI164" i="12"/>
  <c r="J180" i="29"/>
  <c r="K167" i="15"/>
  <c r="AE165" i="12"/>
  <c r="F181" i="27"/>
  <c r="O231" i="8"/>
  <c r="N245" i="8"/>
  <c r="P15" i="8"/>
  <c r="P18" i="8"/>
  <c r="P113" i="8"/>
  <c r="P122" i="8" s="1"/>
  <c r="P115" i="8"/>
  <c r="P117" i="8"/>
  <c r="P119" i="8"/>
  <c r="P121" i="8"/>
  <c r="P124" i="8"/>
  <c r="P131" i="8"/>
  <c r="P133" i="8"/>
  <c r="P138" i="8"/>
  <c r="P147" i="8"/>
  <c r="P164" i="8" s="1"/>
  <c r="P151" i="8"/>
  <c r="P153" i="8"/>
  <c r="P155" i="8"/>
  <c r="P157" i="8"/>
  <c r="P159" i="8"/>
  <c r="P161" i="8"/>
  <c r="P17" i="8"/>
  <c r="P78" i="8"/>
  <c r="P114" i="8"/>
  <c r="P118" i="8"/>
  <c r="P127" i="8"/>
  <c r="P132" i="8"/>
  <c r="P137" i="8"/>
  <c r="P143" i="8"/>
  <c r="P150" i="8"/>
  <c r="P154" i="8"/>
  <c r="P158" i="8"/>
  <c r="P36" i="8"/>
  <c r="P110" i="8"/>
  <c r="P120" i="8"/>
  <c r="P130" i="8"/>
  <c r="P140" i="8" s="1"/>
  <c r="P139" i="8"/>
  <c r="P152" i="8"/>
  <c r="P51" i="8"/>
  <c r="P52" i="8" s="1"/>
  <c r="P116" i="8"/>
  <c r="P189" i="8"/>
  <c r="P125" i="8" s="1"/>
  <c r="P129" i="8" s="1"/>
  <c r="P135" i="8"/>
  <c r="P148" i="8"/>
  <c r="P165" i="8"/>
  <c r="P331" i="8"/>
  <c r="H76" i="8"/>
  <c r="H18" i="8"/>
  <c r="J30" i="8" s="1"/>
  <c r="H36" i="8"/>
  <c r="H77" i="8"/>
  <c r="H79" i="8"/>
  <c r="H82" i="8"/>
  <c r="H91" i="8"/>
  <c r="H108" i="8" s="1"/>
  <c r="H105" i="8"/>
  <c r="H110" i="8"/>
  <c r="H114" i="8"/>
  <c r="H116" i="8"/>
  <c r="H118" i="8"/>
  <c r="H120" i="8"/>
  <c r="H123" i="8"/>
  <c r="H189" i="8"/>
  <c r="H125" i="8" s="1"/>
  <c r="H129" i="8" s="1"/>
  <c r="H127" i="8"/>
  <c r="H130" i="8"/>
  <c r="H140" i="8" s="1"/>
  <c r="H132" i="8"/>
  <c r="H134" i="8"/>
  <c r="H136" i="8"/>
  <c r="H138" i="8"/>
  <c r="H143" i="8"/>
  <c r="H148" i="8"/>
  <c r="H150" i="8"/>
  <c r="H152" i="8"/>
  <c r="H154" i="8"/>
  <c r="H158" i="8"/>
  <c r="H17" i="8"/>
  <c r="H15" i="8"/>
  <c r="H141" i="8"/>
  <c r="H51" i="8"/>
  <c r="H52" i="8" s="1"/>
  <c r="H78" i="8"/>
  <c r="H106" i="8"/>
  <c r="H113" i="8"/>
  <c r="H122" i="8" s="1"/>
  <c r="H117" i="8"/>
  <c r="H121" i="8"/>
  <c r="H131" i="8"/>
  <c r="H135" i="8"/>
  <c r="H139" i="8"/>
  <c r="H149" i="8"/>
  <c r="H153" i="8"/>
  <c r="H157" i="8"/>
  <c r="H161" i="8"/>
  <c r="H165" i="8"/>
  <c r="H81" i="8"/>
  <c r="H89" i="8" s="1"/>
  <c r="H92" i="8"/>
  <c r="H104" i="8"/>
  <c r="H115" i="8"/>
  <c r="H119" i="8"/>
  <c r="H124" i="8"/>
  <c r="H133" i="8"/>
  <c r="H137" i="8"/>
  <c r="H147" i="8"/>
  <c r="H164" i="8" s="1"/>
  <c r="H151" i="8"/>
  <c r="H155" i="8"/>
  <c r="H159" i="8"/>
  <c r="H334" i="8"/>
  <c r="H156" i="8"/>
  <c r="H195" i="8"/>
  <c r="H197" i="8" s="1"/>
  <c r="H358" i="8"/>
  <c r="H56" i="8" s="1"/>
  <c r="H60" i="8" s="1"/>
  <c r="I331" i="8"/>
  <c r="I337" i="8"/>
  <c r="I63" i="8" s="1"/>
  <c r="J231" i="8"/>
  <c r="I359" i="8"/>
  <c r="O139" i="15"/>
  <c r="O313" i="15"/>
  <c r="I105" i="8"/>
  <c r="J74" i="15"/>
  <c r="J69" i="15"/>
  <c r="I139" i="15"/>
  <c r="I313" i="15"/>
  <c r="I318" i="15"/>
  <c r="I91" i="15"/>
  <c r="K86" i="15"/>
  <c r="K87" i="15"/>
  <c r="F317" i="14"/>
  <c r="F139" i="14"/>
  <c r="F313" i="14"/>
  <c r="F183" i="14" s="1"/>
  <c r="F92" i="14" s="1"/>
  <c r="F94" i="14" s="1"/>
  <c r="J313" i="14"/>
  <c r="J139" i="14"/>
  <c r="H33" i="15"/>
  <c r="H53" i="15" s="1"/>
  <c r="L87" i="14"/>
  <c r="J91" i="14"/>
  <c r="L86" i="14"/>
  <c r="J199" i="8"/>
  <c r="I77" i="8"/>
  <c r="I104" i="8"/>
  <c r="N145" i="14"/>
  <c r="J32" i="14"/>
  <c r="J41" i="14"/>
  <c r="J27" i="14"/>
  <c r="J29" i="14"/>
  <c r="J37" i="14"/>
  <c r="J16" i="14"/>
  <c r="K39" i="14" s="1"/>
  <c r="J28" i="14"/>
  <c r="J35" i="14"/>
  <c r="J43" i="14" s="1"/>
  <c r="J38" i="14"/>
  <c r="I16" i="14"/>
  <c r="J39" i="14" s="1"/>
  <c r="I41" i="14"/>
  <c r="I28" i="14"/>
  <c r="I27" i="14"/>
  <c r="I35" i="14"/>
  <c r="I43" i="14" s="1"/>
  <c r="I37" i="14"/>
  <c r="I38" i="14"/>
  <c r="I29" i="14"/>
  <c r="F139" i="15"/>
  <c r="F313" i="15"/>
  <c r="F318" i="15"/>
  <c r="F33" i="14"/>
  <c r="F53" i="14" s="1"/>
  <c r="E17" i="28"/>
  <c r="E23" i="28" s="1"/>
  <c r="E20" i="28"/>
  <c r="E19" i="28"/>
  <c r="F20" i="30"/>
  <c r="F19" i="30"/>
  <c r="BX166" i="12"/>
  <c r="K21" i="21" s="1"/>
  <c r="AE164" i="12"/>
  <c r="F180" i="27"/>
  <c r="AT164" i="12"/>
  <c r="H180" i="28"/>
  <c r="H34" i="4"/>
  <c r="BW164" i="12"/>
  <c r="K180" i="30"/>
  <c r="N199" i="8"/>
  <c r="N195" i="8"/>
  <c r="N197" i="8" s="1"/>
  <c r="O230" i="8"/>
  <c r="M199" i="8"/>
  <c r="N246" i="8"/>
  <c r="P199" i="8"/>
  <c r="G76" i="8"/>
  <c r="G80" i="8" s="1"/>
  <c r="G18" i="8"/>
  <c r="I30" i="8" s="1"/>
  <c r="G36" i="8"/>
  <c r="G77" i="8"/>
  <c r="G79" i="8"/>
  <c r="G82" i="8"/>
  <c r="G91" i="8"/>
  <c r="G108" i="8" s="1"/>
  <c r="G105" i="8"/>
  <c r="G110" i="8"/>
  <c r="G114" i="8"/>
  <c r="G116" i="8"/>
  <c r="G118" i="8"/>
  <c r="G120" i="8"/>
  <c r="G123" i="8"/>
  <c r="G189" i="8"/>
  <c r="G125" i="8" s="1"/>
  <c r="G129" i="8" s="1"/>
  <c r="G127" i="8"/>
  <c r="G130" i="8"/>
  <c r="G140" i="8" s="1"/>
  <c r="G132" i="8"/>
  <c r="G134" i="8"/>
  <c r="G136" i="8"/>
  <c r="G138" i="8"/>
  <c r="G143" i="8"/>
  <c r="G148" i="8"/>
  <c r="G150" i="8"/>
  <c r="G152" i="8"/>
  <c r="G154" i="8"/>
  <c r="G158" i="8"/>
  <c r="G141" i="8"/>
  <c r="G51" i="8"/>
  <c r="G52" i="8" s="1"/>
  <c r="G78" i="8"/>
  <c r="G106" i="8"/>
  <c r="G113" i="8"/>
  <c r="G122" i="8" s="1"/>
  <c r="G117" i="8"/>
  <c r="G121" i="8"/>
  <c r="G131" i="8"/>
  <c r="G135" i="8"/>
  <c r="G139" i="8"/>
  <c r="G149" i="8"/>
  <c r="G153" i="8"/>
  <c r="G157" i="8"/>
  <c r="G161" i="8"/>
  <c r="G165" i="8"/>
  <c r="G17" i="8"/>
  <c r="G15" i="8"/>
  <c r="G81" i="8"/>
  <c r="G89" i="8" s="1"/>
  <c r="G92" i="8"/>
  <c r="G104" i="8"/>
  <c r="G115" i="8"/>
  <c r="G119" i="8"/>
  <c r="G124" i="8"/>
  <c r="G133" i="8"/>
  <c r="G137" i="8"/>
  <c r="G147" i="8"/>
  <c r="G164" i="8" s="1"/>
  <c r="G151" i="8"/>
  <c r="G155" i="8"/>
  <c r="G159" i="8"/>
  <c r="G334" i="8"/>
  <c r="G156" i="8"/>
  <c r="G195" i="8"/>
  <c r="G197" i="8" s="1"/>
  <c r="G358" i="8"/>
  <c r="G56" i="8" s="1"/>
  <c r="G60" i="8" s="1"/>
  <c r="F156" i="8"/>
  <c r="F334" i="8"/>
  <c r="F195" i="8"/>
  <c r="F197" i="8" s="1"/>
  <c r="F358" i="8"/>
  <c r="F56" i="8" s="1"/>
  <c r="F60" i="8" s="1"/>
  <c r="Q41" i="8"/>
  <c r="Q37" i="8"/>
  <c r="I334" i="8"/>
  <c r="I156" i="8"/>
  <c r="I199" i="8"/>
  <c r="I439" i="8"/>
  <c r="I65" i="8" s="1"/>
  <c r="I42" i="8" s="1"/>
  <c r="J230" i="8"/>
  <c r="I358" i="8"/>
  <c r="I56" i="8" s="1"/>
  <c r="I60" i="8" s="1"/>
  <c r="I195" i="8"/>
  <c r="I197" i="8" s="1"/>
  <c r="Q139" i="15"/>
  <c r="M27" i="8"/>
  <c r="M33" i="8" s="1"/>
  <c r="I16" i="8"/>
  <c r="J39" i="8" s="1"/>
  <c r="I38" i="8"/>
  <c r="I28" i="8"/>
  <c r="I37" i="8"/>
  <c r="I27" i="8"/>
  <c r="I33" i="8" s="1"/>
  <c r="I35" i="8"/>
  <c r="I43" i="8" s="1"/>
  <c r="I29" i="8"/>
  <c r="I41" i="8"/>
  <c r="J401" i="15"/>
  <c r="J56" i="15" s="1"/>
  <c r="J60" i="15" s="1"/>
  <c r="J178" i="15"/>
  <c r="J180" i="15" s="1"/>
  <c r="J313" i="15"/>
  <c r="J318" i="15"/>
  <c r="J139" i="15"/>
  <c r="I91" i="8"/>
  <c r="I108" i="8" s="1"/>
  <c r="I401" i="15"/>
  <c r="I56" i="15" s="1"/>
  <c r="I60" i="15" s="1"/>
  <c r="I178" i="15"/>
  <c r="I180" i="15" s="1"/>
  <c r="F401" i="15"/>
  <c r="F56" i="15" s="1"/>
  <c r="F60" i="15" s="1"/>
  <c r="F178" i="15"/>
  <c r="F180" i="15" s="1"/>
  <c r="I32" i="14"/>
  <c r="G69" i="14"/>
  <c r="G74" i="14"/>
  <c r="G72" i="14"/>
  <c r="G73" i="14"/>
  <c r="G70" i="14"/>
  <c r="J76" i="8"/>
  <c r="K91" i="8"/>
  <c r="K108" i="8" s="1"/>
  <c r="J15" i="8"/>
  <c r="J77" i="8"/>
  <c r="J79" i="8"/>
  <c r="J82" i="8"/>
  <c r="J92" i="8"/>
  <c r="J113" i="8"/>
  <c r="J122" i="8" s="1"/>
  <c r="J115" i="8"/>
  <c r="J117" i="8"/>
  <c r="J119" i="8"/>
  <c r="J121" i="8"/>
  <c r="J124" i="8"/>
  <c r="J131" i="8"/>
  <c r="J133" i="8"/>
  <c r="J136" i="8"/>
  <c r="J138" i="8"/>
  <c r="J141" i="8"/>
  <c r="J147" i="8"/>
  <c r="J164" i="8" s="1"/>
  <c r="J149" i="8"/>
  <c r="K105" i="8"/>
  <c r="J105" i="8"/>
  <c r="J18" i="8"/>
  <c r="L30" i="8" s="1"/>
  <c r="K92" i="8"/>
  <c r="J81" i="8"/>
  <c r="J89" i="8" s="1"/>
  <c r="J110" i="8"/>
  <c r="J116" i="8"/>
  <c r="J120" i="8"/>
  <c r="J189" i="8"/>
  <c r="J125" i="8" s="1"/>
  <c r="J129" i="8" s="1"/>
  <c r="J130" i="8"/>
  <c r="J140" i="8" s="1"/>
  <c r="J135" i="8"/>
  <c r="J139" i="8"/>
  <c r="J148" i="8"/>
  <c r="J151" i="8"/>
  <c r="J153" i="8"/>
  <c r="J155" i="8"/>
  <c r="J157" i="8"/>
  <c r="J159" i="8"/>
  <c r="J161" i="8"/>
  <c r="J36" i="8"/>
  <c r="J51" i="8"/>
  <c r="J52" i="8" s="1"/>
  <c r="J165" i="8"/>
  <c r="J17" i="8"/>
  <c r="K106" i="8"/>
  <c r="J104" i="8"/>
  <c r="J91" i="8"/>
  <c r="J108" i="8" s="1"/>
  <c r="J118" i="8"/>
  <c r="J127" i="8"/>
  <c r="J137" i="8"/>
  <c r="J150" i="8"/>
  <c r="J154" i="8"/>
  <c r="J158" i="8"/>
  <c r="K104" i="8"/>
  <c r="J106" i="8"/>
  <c r="J78" i="8"/>
  <c r="J114" i="8"/>
  <c r="J123" i="8"/>
  <c r="J132" i="8"/>
  <c r="J143" i="8"/>
  <c r="J152" i="8"/>
  <c r="J331" i="8"/>
  <c r="J337" i="8"/>
  <c r="J63" i="8" s="1"/>
  <c r="I92" i="8"/>
  <c r="I106" i="8"/>
  <c r="I76" i="8"/>
  <c r="I313" i="14"/>
  <c r="I317" i="14"/>
  <c r="I139" i="14"/>
  <c r="I422" i="14"/>
  <c r="I182" i="14"/>
  <c r="I184" i="14" s="1"/>
  <c r="I91" i="14"/>
  <c r="K86" i="14"/>
  <c r="F74" i="15"/>
  <c r="F69" i="15"/>
  <c r="F38" i="15"/>
  <c r="F145" i="15" s="1"/>
  <c r="F35" i="15"/>
  <c r="F43" i="15" s="1"/>
  <c r="F27" i="15"/>
  <c r="F41" i="15"/>
  <c r="F37" i="15"/>
  <c r="F28" i="15"/>
  <c r="F16" i="15"/>
  <c r="G39" i="15" s="1"/>
  <c r="F29" i="15"/>
  <c r="G58" i="14"/>
  <c r="K441" i="15"/>
  <c r="K58" i="15"/>
  <c r="E181" i="32"/>
  <c r="Q165" i="33"/>
  <c r="M15" i="30"/>
  <c r="N15" i="30" s="1"/>
  <c r="O15" i="30" s="1"/>
  <c r="P15" i="30" s="1"/>
  <c r="K13" i="30"/>
  <c r="M38" i="15"/>
  <c r="O32" i="15"/>
  <c r="M40" i="15"/>
  <c r="N32" i="15"/>
  <c r="O41" i="15"/>
  <c r="O16" i="15"/>
  <c r="P39" i="15" s="1"/>
  <c r="O27" i="15"/>
  <c r="O33" i="15" s="1"/>
  <c r="M16" i="15"/>
  <c r="N39" i="15" s="1"/>
  <c r="M27" i="15"/>
  <c r="M33" i="15" s="1"/>
  <c r="N38" i="15"/>
  <c r="O35" i="15"/>
  <c r="O43" i="15" s="1"/>
  <c r="M32" i="15"/>
  <c r="N16" i="15"/>
  <c r="O39" i="15" s="1"/>
  <c r="N41" i="15"/>
  <c r="M41" i="15"/>
  <c r="M37" i="15"/>
  <c r="M35" i="15"/>
  <c r="M43" i="15" s="1"/>
  <c r="F185" i="32"/>
  <c r="F95" i="32" s="1"/>
  <c r="AE76" i="33" s="1"/>
  <c r="N40" i="15"/>
  <c r="N37" i="15"/>
  <c r="N27" i="15"/>
  <c r="N33" i="15" s="1"/>
  <c r="Q32" i="15"/>
  <c r="N43" i="15"/>
  <c r="R164" i="12"/>
  <c r="E164" i="12" s="1"/>
  <c r="F180" i="26"/>
  <c r="L16" i="15"/>
  <c r="M39" i="15" s="1"/>
  <c r="L38" i="15"/>
  <c r="L40" i="15"/>
  <c r="L41" i="15"/>
  <c r="L27" i="15"/>
  <c r="L35" i="15"/>
  <c r="L43" i="15" s="1"/>
  <c r="L37" i="15"/>
  <c r="G22" i="4"/>
  <c r="AF166" i="12"/>
  <c r="F18" i="21" s="1"/>
  <c r="P40" i="15"/>
  <c r="P41" i="15"/>
  <c r="P27" i="15"/>
  <c r="P35" i="15"/>
  <c r="P43" i="15" s="1"/>
  <c r="P16" i="15"/>
  <c r="Q39" i="15" s="1"/>
  <c r="P37" i="15"/>
  <c r="P38" i="15"/>
  <c r="F12" i="4"/>
  <c r="F7" i="4" s="1"/>
  <c r="S166" i="12"/>
  <c r="G11" i="4"/>
  <c r="L32" i="15"/>
  <c r="L80" i="15"/>
  <c r="P32" i="15"/>
  <c r="Q16" i="15"/>
  <c r="Q41" i="15"/>
  <c r="Q35" i="15"/>
  <c r="Q43" i="15" s="1"/>
  <c r="Q38" i="15"/>
  <c r="Q40" i="15"/>
  <c r="Q27" i="15"/>
  <c r="Q37" i="15"/>
  <c r="G137" i="29" l="1"/>
  <c r="G113" i="29"/>
  <c r="BF93" i="12" s="1"/>
  <c r="K7" i="30"/>
  <c r="G51" i="30"/>
  <c r="H108" i="30"/>
  <c r="I130" i="30"/>
  <c r="I113" i="30"/>
  <c r="BU93" i="12" s="1"/>
  <c r="G47" i="30"/>
  <c r="G113" i="28"/>
  <c r="E45" i="27"/>
  <c r="E137" i="27"/>
  <c r="E48" i="27"/>
  <c r="E42" i="27"/>
  <c r="E44" i="27" s="1"/>
  <c r="E136" i="27"/>
  <c r="E113" i="27"/>
  <c r="AD93" i="12" s="1"/>
  <c r="E45" i="26"/>
  <c r="E42" i="26"/>
  <c r="E44" i="26" s="1"/>
  <c r="E48" i="26"/>
  <c r="E113" i="26"/>
  <c r="J199" i="26"/>
  <c r="J200" i="26" s="1"/>
  <c r="J17" i="4"/>
  <c r="E96" i="32"/>
  <c r="AD77" i="33" s="1"/>
  <c r="J30" i="21"/>
  <c r="J39" i="21" s="1"/>
  <c r="G30" i="21"/>
  <c r="G39" i="21" s="1"/>
  <c r="F46" i="32"/>
  <c r="AE27" i="33" s="1"/>
  <c r="F49" i="32"/>
  <c r="AE30" i="33" s="1"/>
  <c r="F26" i="29"/>
  <c r="F23" i="29"/>
  <c r="F83" i="29" s="1"/>
  <c r="E23" i="29"/>
  <c r="I83" i="30"/>
  <c r="I35" i="32" s="1"/>
  <c r="J45" i="30"/>
  <c r="H83" i="30"/>
  <c r="H35" i="32" s="1"/>
  <c r="G84" i="30"/>
  <c r="F83" i="30"/>
  <c r="F35" i="32" s="1"/>
  <c r="E95" i="28"/>
  <c r="AQ76" i="12" s="1"/>
  <c r="F42" i="28"/>
  <c r="F44" i="28" s="1"/>
  <c r="F48" i="28"/>
  <c r="F50" i="28" s="1"/>
  <c r="F136" i="28"/>
  <c r="AR116" i="12" s="1"/>
  <c r="F137" i="28"/>
  <c r="AR117" i="12" s="1"/>
  <c r="F45" i="28"/>
  <c r="F47" i="28" s="1"/>
  <c r="G136" i="28"/>
  <c r="AS116" i="12" s="1"/>
  <c r="G45" i="28"/>
  <c r="G137" i="28"/>
  <c r="AS117" i="12" s="1"/>
  <c r="E26" i="28"/>
  <c r="AQ8" i="12" s="1"/>
  <c r="E83" i="30"/>
  <c r="E35" i="32" s="1"/>
  <c r="G83" i="34"/>
  <c r="E29" i="29"/>
  <c r="I45" i="29"/>
  <c r="H45" i="29"/>
  <c r="G136" i="29"/>
  <c r="BF116" i="12" s="1"/>
  <c r="F47" i="29"/>
  <c r="F29" i="29"/>
  <c r="F218" i="26"/>
  <c r="G212" i="26"/>
  <c r="E136" i="26"/>
  <c r="E137" i="26"/>
  <c r="G125" i="29"/>
  <c r="G28" i="29" s="1"/>
  <c r="G112" i="29"/>
  <c r="BF92" i="12" s="1"/>
  <c r="G130" i="29"/>
  <c r="G144" i="29"/>
  <c r="D29" i="21"/>
  <c r="D38" i="21" s="1"/>
  <c r="G108" i="29"/>
  <c r="F160" i="29"/>
  <c r="I147" i="30"/>
  <c r="BU127" i="12" s="1"/>
  <c r="I115" i="30"/>
  <c r="F118" i="30"/>
  <c r="BS126" i="12"/>
  <c r="G96" i="30"/>
  <c r="F169" i="12"/>
  <c r="S169" i="33" s="1"/>
  <c r="I125" i="30"/>
  <c r="I28" i="30" s="1"/>
  <c r="I140" i="30"/>
  <c r="I141" i="30"/>
  <c r="BU121" i="12" s="1"/>
  <c r="H93" i="30"/>
  <c r="H94" i="30"/>
  <c r="H139" i="30"/>
  <c r="I80" i="30"/>
  <c r="I122" i="30"/>
  <c r="I142" i="30"/>
  <c r="I111" i="30"/>
  <c r="I128" i="30"/>
  <c r="I135" i="30"/>
  <c r="I127" i="30"/>
  <c r="H140" i="30"/>
  <c r="I143" i="30"/>
  <c r="I146" i="30"/>
  <c r="I110" i="30"/>
  <c r="I136" i="30"/>
  <c r="I131" i="30"/>
  <c r="I139" i="30"/>
  <c r="I112" i="30"/>
  <c r="BU92" i="12" s="1"/>
  <c r="I137" i="30"/>
  <c r="BU117" i="12" s="1"/>
  <c r="I124" i="30"/>
  <c r="I132" i="30"/>
  <c r="I144" i="30"/>
  <c r="E26" i="30"/>
  <c r="E25" i="30"/>
  <c r="BQ7" i="12" s="1"/>
  <c r="E30" i="30"/>
  <c r="E27" i="30"/>
  <c r="BQ9" i="12" s="1"/>
  <c r="I129" i="30"/>
  <c r="F51" i="29"/>
  <c r="G122" i="29"/>
  <c r="G127" i="29"/>
  <c r="G143" i="29"/>
  <c r="BF123" i="12" s="1"/>
  <c r="G141" i="29"/>
  <c r="G110" i="29"/>
  <c r="BF90" i="12" s="1"/>
  <c r="G93" i="29"/>
  <c r="G96" i="29" s="1"/>
  <c r="G124" i="29"/>
  <c r="G129" i="29"/>
  <c r="G111" i="29"/>
  <c r="BF91" i="12" s="1"/>
  <c r="G132" i="29"/>
  <c r="G147" i="29"/>
  <c r="G146" i="29"/>
  <c r="BF126" i="12" s="1"/>
  <c r="G131" i="29"/>
  <c r="G115" i="29"/>
  <c r="BF95" i="12" s="1"/>
  <c r="H85" i="29"/>
  <c r="G128" i="29"/>
  <c r="G135" i="29"/>
  <c r="BF115" i="12" s="1"/>
  <c r="I85" i="29"/>
  <c r="G86" i="29"/>
  <c r="BF67" i="12" s="1"/>
  <c r="G142" i="29"/>
  <c r="BF122" i="12" s="1"/>
  <c r="BF117" i="12"/>
  <c r="E28" i="28"/>
  <c r="AQ10" i="12" s="1"/>
  <c r="F82" i="28"/>
  <c r="F80" i="28"/>
  <c r="G82" i="28"/>
  <c r="G80" i="28"/>
  <c r="E102" i="27"/>
  <c r="AD117" i="12"/>
  <c r="E121" i="27"/>
  <c r="E134" i="27"/>
  <c r="E53" i="27"/>
  <c r="H5" i="26"/>
  <c r="G217" i="26"/>
  <c r="G213" i="26"/>
  <c r="G211" i="26"/>
  <c r="G215" i="26"/>
  <c r="G209" i="26"/>
  <c r="G216" i="26"/>
  <c r="G214" i="26"/>
  <c r="E51" i="26"/>
  <c r="E134" i="26"/>
  <c r="E121" i="26"/>
  <c r="E125" i="26"/>
  <c r="E28" i="26" s="1"/>
  <c r="E17" i="26"/>
  <c r="E23" i="26" s="1"/>
  <c r="E84" i="26" s="1"/>
  <c r="E102" i="26"/>
  <c r="G125" i="32"/>
  <c r="G82" i="32"/>
  <c r="AF63" i="33" s="1"/>
  <c r="I30" i="30"/>
  <c r="BU12" i="12" s="1"/>
  <c r="I26" i="30"/>
  <c r="I25" i="30"/>
  <c r="I27" i="30"/>
  <c r="J163" i="30"/>
  <c r="H25" i="30"/>
  <c r="H26" i="30"/>
  <c r="BT8" i="12" s="1"/>
  <c r="H30" i="30"/>
  <c r="BT12" i="12" s="1"/>
  <c r="H27" i="30"/>
  <c r="H148" i="30"/>
  <c r="G25" i="30"/>
  <c r="G26" i="30"/>
  <c r="BS8" i="12" s="1"/>
  <c r="G30" i="30"/>
  <c r="BS12" i="12" s="1"/>
  <c r="G27" i="30"/>
  <c r="I118" i="30"/>
  <c r="F145" i="30"/>
  <c r="BR125" i="12" s="1"/>
  <c r="F26" i="30"/>
  <c r="F30" i="30"/>
  <c r="F27" i="30"/>
  <c r="F25" i="30"/>
  <c r="BR7" i="12" s="1"/>
  <c r="F92" i="29"/>
  <c r="F101" i="29"/>
  <c r="G139" i="29"/>
  <c r="G140" i="29"/>
  <c r="G84" i="34"/>
  <c r="CF65" i="12" s="1"/>
  <c r="CF5" i="12"/>
  <c r="CF6" i="12"/>
  <c r="H8" i="11"/>
  <c r="I23" i="15"/>
  <c r="I25" i="15" s="1"/>
  <c r="BF7" i="12"/>
  <c r="G26" i="29"/>
  <c r="G29" i="29" s="1"/>
  <c r="I19" i="11"/>
  <c r="F96" i="30"/>
  <c r="BR76" i="12"/>
  <c r="BS116" i="12"/>
  <c r="F148" i="29"/>
  <c r="BE128" i="12" s="1"/>
  <c r="G92" i="30"/>
  <c r="F108" i="30"/>
  <c r="H173" i="30"/>
  <c r="H118" i="30"/>
  <c r="BT98" i="12" s="1"/>
  <c r="AQ9" i="12"/>
  <c r="G101" i="30"/>
  <c r="G145" i="30"/>
  <c r="G160" i="30"/>
  <c r="G173" i="30"/>
  <c r="E80" i="26"/>
  <c r="F126" i="30"/>
  <c r="F138" i="30"/>
  <c r="BR118" i="12" s="1"/>
  <c r="F160" i="30"/>
  <c r="H133" i="30"/>
  <c r="H145" i="30"/>
  <c r="E112" i="27"/>
  <c r="E103" i="27"/>
  <c r="E110" i="27"/>
  <c r="E111" i="27"/>
  <c r="AD91" i="12" s="1"/>
  <c r="E82" i="27"/>
  <c r="E87" i="27"/>
  <c r="AD68" i="12" s="1"/>
  <c r="E171" i="27"/>
  <c r="E169" i="27"/>
  <c r="E172" i="27"/>
  <c r="E170" i="27"/>
  <c r="E153" i="27"/>
  <c r="E156" i="27"/>
  <c r="E159" i="27"/>
  <c r="E151" i="27"/>
  <c r="E154" i="27"/>
  <c r="E157" i="27"/>
  <c r="E149" i="27"/>
  <c r="E152" i="27"/>
  <c r="E158" i="27"/>
  <c r="E150" i="27"/>
  <c r="E168" i="27"/>
  <c r="E140" i="27"/>
  <c r="E155" i="27"/>
  <c r="E128" i="27"/>
  <c r="E132" i="27"/>
  <c r="E129" i="27"/>
  <c r="E130" i="27"/>
  <c r="E131" i="27"/>
  <c r="E127" i="27"/>
  <c r="E139" i="27"/>
  <c r="E122" i="27"/>
  <c r="E124" i="27"/>
  <c r="AD104" i="12" s="1"/>
  <c r="E123" i="27"/>
  <c r="E104" i="27"/>
  <c r="E79" i="27"/>
  <c r="E107" i="27"/>
  <c r="E97" i="27"/>
  <c r="E52" i="27"/>
  <c r="E100" i="27"/>
  <c r="E78" i="27"/>
  <c r="E51" i="27"/>
  <c r="E105" i="27"/>
  <c r="E94" i="27"/>
  <c r="E91" i="27"/>
  <c r="E109" i="27"/>
  <c r="E98" i="27"/>
  <c r="E120" i="27"/>
  <c r="E99" i="27"/>
  <c r="E106" i="27"/>
  <c r="E80" i="27"/>
  <c r="E54" i="27"/>
  <c r="E93" i="27"/>
  <c r="E85" i="27"/>
  <c r="E125" i="27"/>
  <c r="E28" i="27" s="1"/>
  <c r="BD7" i="12"/>
  <c r="I82" i="29"/>
  <c r="I103" i="29"/>
  <c r="I170" i="29"/>
  <c r="I165" i="29"/>
  <c r="I168" i="29"/>
  <c r="I116" i="29"/>
  <c r="BH96" i="12" s="1"/>
  <c r="I171" i="29"/>
  <c r="I117" i="29"/>
  <c r="BH97" i="12" s="1"/>
  <c r="I166" i="29"/>
  <c r="BH146" i="12" s="1"/>
  <c r="I169" i="29"/>
  <c r="I167" i="29"/>
  <c r="BH147" i="12" s="1"/>
  <c r="I162" i="29"/>
  <c r="I164" i="29" s="1"/>
  <c r="I150" i="29"/>
  <c r="I158" i="29"/>
  <c r="I153" i="29"/>
  <c r="I172" i="29"/>
  <c r="I156" i="29"/>
  <c r="I151" i="29"/>
  <c r="I154" i="29"/>
  <c r="I149" i="29"/>
  <c r="I157" i="29"/>
  <c r="I152" i="29"/>
  <c r="I155" i="29"/>
  <c r="I159" i="29"/>
  <c r="I134" i="29"/>
  <c r="I123" i="29"/>
  <c r="I119" i="29"/>
  <c r="BH99" i="12" s="1"/>
  <c r="I120" i="29"/>
  <c r="I121" i="29"/>
  <c r="I102" i="29"/>
  <c r="I99" i="29"/>
  <c r="I106" i="29"/>
  <c r="I91" i="29"/>
  <c r="I109" i="29"/>
  <c r="I97" i="29"/>
  <c r="I104" i="29"/>
  <c r="I100" i="29"/>
  <c r="I107" i="29"/>
  <c r="I98" i="29"/>
  <c r="I105" i="29"/>
  <c r="I80" i="29"/>
  <c r="I53" i="29"/>
  <c r="I78" i="29"/>
  <c r="I89" i="29"/>
  <c r="BH70" i="12" s="1"/>
  <c r="I90" i="29"/>
  <c r="BH71" i="12" s="1"/>
  <c r="I87" i="29"/>
  <c r="BH68" i="12" s="1"/>
  <c r="I54" i="29"/>
  <c r="I79" i="29"/>
  <c r="I52" i="29"/>
  <c r="I88" i="29"/>
  <c r="BH69" i="12" s="1"/>
  <c r="G83" i="29"/>
  <c r="F126" i="29"/>
  <c r="F118" i="29"/>
  <c r="BE98" i="12" s="1"/>
  <c r="I108" i="30"/>
  <c r="I173" i="30"/>
  <c r="G118" i="30"/>
  <c r="H138" i="30"/>
  <c r="BT118" i="12" s="1"/>
  <c r="BR122" i="12"/>
  <c r="F111" i="28"/>
  <c r="AR91" i="12" s="1"/>
  <c r="F117" i="28"/>
  <c r="AR97" i="12" s="1"/>
  <c r="F103" i="28"/>
  <c r="F112" i="28"/>
  <c r="AR92" i="12" s="1"/>
  <c r="F110" i="28"/>
  <c r="AR90" i="12" s="1"/>
  <c r="F141" i="28"/>
  <c r="AR121" i="12" s="1"/>
  <c r="F167" i="28"/>
  <c r="AR147" i="12" s="1"/>
  <c r="F170" i="28"/>
  <c r="F116" i="28"/>
  <c r="AR96" i="12" s="1"/>
  <c r="F115" i="28"/>
  <c r="F165" i="28"/>
  <c r="AR145" i="12" s="1"/>
  <c r="F168" i="28"/>
  <c r="F171" i="28"/>
  <c r="F161" i="28"/>
  <c r="F164" i="28" s="1"/>
  <c r="F166" i="28"/>
  <c r="AR146" i="12" s="1"/>
  <c r="F172" i="28"/>
  <c r="F152" i="28"/>
  <c r="F155" i="28"/>
  <c r="F150" i="28"/>
  <c r="F158" i="28"/>
  <c r="F153" i="28"/>
  <c r="F169" i="28"/>
  <c r="F156" i="28"/>
  <c r="F151" i="28"/>
  <c r="F159" i="28"/>
  <c r="F154" i="28"/>
  <c r="F134" i="28"/>
  <c r="F144" i="28"/>
  <c r="AR124" i="12" s="1"/>
  <c r="F146" i="28"/>
  <c r="AR126" i="12" s="1"/>
  <c r="F149" i="28"/>
  <c r="F142" i="28"/>
  <c r="F135" i="28"/>
  <c r="AR115" i="12" s="1"/>
  <c r="F147" i="28"/>
  <c r="F157" i="28"/>
  <c r="F143" i="28"/>
  <c r="AR123" i="12" s="1"/>
  <c r="F132" i="28"/>
  <c r="F127" i="28"/>
  <c r="F130" i="28"/>
  <c r="F128" i="28"/>
  <c r="F131" i="28"/>
  <c r="F129" i="28"/>
  <c r="F90" i="28"/>
  <c r="F123" i="28"/>
  <c r="F93" i="28"/>
  <c r="F120" i="28"/>
  <c r="F124" i="28"/>
  <c r="AR104" i="12" s="1"/>
  <c r="F94" i="28"/>
  <c r="F122" i="28"/>
  <c r="F121" i="28"/>
  <c r="AR101" i="12" s="1"/>
  <c r="F106" i="28"/>
  <c r="AR93" i="12"/>
  <c r="F125" i="28"/>
  <c r="F28" i="28" s="1"/>
  <c r="F99" i="28"/>
  <c r="F104" i="28"/>
  <c r="F91" i="28"/>
  <c r="F107" i="28"/>
  <c r="F109" i="28"/>
  <c r="F100" i="28"/>
  <c r="F105" i="28"/>
  <c r="F97" i="28"/>
  <c r="F102" i="28"/>
  <c r="F85" i="28"/>
  <c r="F88" i="28"/>
  <c r="AR69" i="12" s="1"/>
  <c r="F54" i="28"/>
  <c r="F86" i="28"/>
  <c r="AR67" i="12" s="1"/>
  <c r="F52" i="28"/>
  <c r="F89" i="28"/>
  <c r="F98" i="28"/>
  <c r="F87" i="28"/>
  <c r="AR68" i="12" s="1"/>
  <c r="F53" i="28"/>
  <c r="F119" i="28"/>
  <c r="F78" i="28"/>
  <c r="F79" i="28"/>
  <c r="H103" i="29"/>
  <c r="H82" i="29"/>
  <c r="H165" i="29"/>
  <c r="BG145" i="12" s="1"/>
  <c r="H168" i="29"/>
  <c r="H116" i="29"/>
  <c r="BG96" i="12" s="1"/>
  <c r="H171" i="29"/>
  <c r="H117" i="29"/>
  <c r="BG97" i="12" s="1"/>
  <c r="H166" i="29"/>
  <c r="BG146" i="12" s="1"/>
  <c r="H169" i="29"/>
  <c r="H172" i="29"/>
  <c r="H170" i="29"/>
  <c r="H153" i="29"/>
  <c r="H156" i="29"/>
  <c r="H151" i="29"/>
  <c r="H159" i="29"/>
  <c r="H167" i="29"/>
  <c r="BG147" i="12" s="1"/>
  <c r="H163" i="29"/>
  <c r="H164" i="29" s="1"/>
  <c r="H154" i="29"/>
  <c r="H149" i="29"/>
  <c r="H157" i="29"/>
  <c r="H152" i="29"/>
  <c r="H155" i="29"/>
  <c r="H150" i="29"/>
  <c r="H134" i="29"/>
  <c r="H158" i="29"/>
  <c r="H119" i="29"/>
  <c r="BG99" i="12" s="1"/>
  <c r="H120" i="29"/>
  <c r="H121" i="29"/>
  <c r="BG101" i="12" s="1"/>
  <c r="H99" i="29"/>
  <c r="H106" i="29"/>
  <c r="H91" i="29"/>
  <c r="H109" i="29"/>
  <c r="H97" i="29"/>
  <c r="H104" i="29"/>
  <c r="H100" i="29"/>
  <c r="H107" i="29"/>
  <c r="H123" i="29"/>
  <c r="H98" i="29"/>
  <c r="H105" i="29"/>
  <c r="H90" i="29"/>
  <c r="BG71" i="12" s="1"/>
  <c r="H102" i="29"/>
  <c r="H53" i="29"/>
  <c r="H78" i="29"/>
  <c r="H89" i="29"/>
  <c r="BG70" i="12" s="1"/>
  <c r="H87" i="29"/>
  <c r="BG68" i="12" s="1"/>
  <c r="H54" i="29"/>
  <c r="H79" i="29"/>
  <c r="H52" i="29"/>
  <c r="H88" i="29"/>
  <c r="BG69" i="12" s="1"/>
  <c r="H80" i="29"/>
  <c r="F108" i="29"/>
  <c r="F133" i="29"/>
  <c r="F114" i="29"/>
  <c r="BE94" i="12" s="1"/>
  <c r="I101" i="30"/>
  <c r="F133" i="30"/>
  <c r="H114" i="30"/>
  <c r="G117" i="28"/>
  <c r="AS97" i="12" s="1"/>
  <c r="G103" i="28"/>
  <c r="G112" i="28"/>
  <c r="AS92" i="12" s="1"/>
  <c r="G110" i="28"/>
  <c r="AS90" i="12" s="1"/>
  <c r="G141" i="28"/>
  <c r="AS121" i="12" s="1"/>
  <c r="G111" i="28"/>
  <c r="G172" i="28"/>
  <c r="G167" i="28"/>
  <c r="G116" i="28"/>
  <c r="AS96" i="12" s="1"/>
  <c r="G170" i="28"/>
  <c r="G115" i="28"/>
  <c r="AS95" i="12" s="1"/>
  <c r="G165" i="28"/>
  <c r="AS145" i="12" s="1"/>
  <c r="G168" i="28"/>
  <c r="G171" i="28"/>
  <c r="G169" i="28"/>
  <c r="G166" i="28"/>
  <c r="G149" i="28"/>
  <c r="G157" i="28"/>
  <c r="G152" i="28"/>
  <c r="G155" i="28"/>
  <c r="G150" i="28"/>
  <c r="G158" i="28"/>
  <c r="G153" i="28"/>
  <c r="G156" i="28"/>
  <c r="G151" i="28"/>
  <c r="G159" i="28"/>
  <c r="G154" i="28"/>
  <c r="G134" i="28"/>
  <c r="G144" i="28"/>
  <c r="G146" i="28"/>
  <c r="G142" i="28"/>
  <c r="AS122" i="12" s="1"/>
  <c r="G135" i="28"/>
  <c r="G147" i="28"/>
  <c r="AS127" i="12" s="1"/>
  <c r="G129" i="28"/>
  <c r="G132" i="28"/>
  <c r="G127" i="28"/>
  <c r="G130" i="28"/>
  <c r="G128" i="28"/>
  <c r="G131" i="28"/>
  <c r="G143" i="28"/>
  <c r="G125" i="28"/>
  <c r="G28" i="28" s="1"/>
  <c r="G90" i="28"/>
  <c r="AS71" i="12" s="1"/>
  <c r="G123" i="28"/>
  <c r="G120" i="28"/>
  <c r="G91" i="28"/>
  <c r="G124" i="28"/>
  <c r="G98" i="28"/>
  <c r="G102" i="28"/>
  <c r="G93" i="28"/>
  <c r="G106" i="28"/>
  <c r="AS93" i="12"/>
  <c r="G121" i="28"/>
  <c r="AS101" i="12" s="1"/>
  <c r="G99" i="28"/>
  <c r="G104" i="28"/>
  <c r="G107" i="28"/>
  <c r="G109" i="28"/>
  <c r="G122" i="28"/>
  <c r="G94" i="28"/>
  <c r="G100" i="28"/>
  <c r="G105" i="28"/>
  <c r="G85" i="28"/>
  <c r="G88" i="28"/>
  <c r="G54" i="28"/>
  <c r="G97" i="28"/>
  <c r="G86" i="28"/>
  <c r="AS67" i="12" s="1"/>
  <c r="G52" i="28"/>
  <c r="G89" i="28"/>
  <c r="AS70" i="12" s="1"/>
  <c r="G53" i="28"/>
  <c r="G87" i="28"/>
  <c r="AS68" i="12" s="1"/>
  <c r="G119" i="28"/>
  <c r="AS99" i="12" s="1"/>
  <c r="G79" i="28"/>
  <c r="G78" i="28"/>
  <c r="BE7" i="12"/>
  <c r="E90" i="26"/>
  <c r="E111" i="26"/>
  <c r="E82" i="26"/>
  <c r="E103" i="26"/>
  <c r="E110" i="26"/>
  <c r="E112" i="26"/>
  <c r="E87" i="26"/>
  <c r="E170" i="26"/>
  <c r="E168" i="26"/>
  <c r="E171" i="26"/>
  <c r="E169" i="26"/>
  <c r="E157" i="26"/>
  <c r="E149" i="26"/>
  <c r="E152" i="26"/>
  <c r="E155" i="26"/>
  <c r="E158" i="26"/>
  <c r="E150" i="26"/>
  <c r="E172" i="26"/>
  <c r="E153" i="26"/>
  <c r="E156" i="26"/>
  <c r="E154" i="26"/>
  <c r="E151" i="26"/>
  <c r="E159" i="26"/>
  <c r="E128" i="26"/>
  <c r="E127" i="26"/>
  <c r="E131" i="26"/>
  <c r="E129" i="26"/>
  <c r="E130" i="26"/>
  <c r="E132" i="26"/>
  <c r="E122" i="26"/>
  <c r="E124" i="26"/>
  <c r="E123" i="26"/>
  <c r="E109" i="26"/>
  <c r="E98" i="26"/>
  <c r="E52" i="26"/>
  <c r="E106" i="26"/>
  <c r="E94" i="26"/>
  <c r="E91" i="26"/>
  <c r="E105" i="26"/>
  <c r="E120" i="26"/>
  <c r="E99" i="26"/>
  <c r="E104" i="26"/>
  <c r="E107" i="26"/>
  <c r="E97" i="26"/>
  <c r="E100" i="26"/>
  <c r="E93" i="26"/>
  <c r="E85" i="26"/>
  <c r="E54" i="26"/>
  <c r="E53" i="26"/>
  <c r="E79" i="26"/>
  <c r="E78" i="26"/>
  <c r="F138" i="29"/>
  <c r="BE118" i="12" s="1"/>
  <c r="G101" i="29"/>
  <c r="G160" i="29"/>
  <c r="G114" i="30"/>
  <c r="BS94" i="12" s="1"/>
  <c r="F101" i="30"/>
  <c r="F173" i="30"/>
  <c r="I160" i="30"/>
  <c r="BS76" i="12"/>
  <c r="F96" i="29"/>
  <c r="F145" i="29"/>
  <c r="BE125" i="12" s="1"/>
  <c r="F173" i="29"/>
  <c r="I95" i="30"/>
  <c r="G173" i="29"/>
  <c r="G126" i="30"/>
  <c r="F92" i="30"/>
  <c r="F114" i="30"/>
  <c r="BR94" i="12" s="1"/>
  <c r="H160" i="30"/>
  <c r="J103" i="30"/>
  <c r="J82" i="30"/>
  <c r="J168" i="30"/>
  <c r="J171" i="30"/>
  <c r="J166" i="30"/>
  <c r="J116" i="30"/>
  <c r="J169" i="30"/>
  <c r="J117" i="30"/>
  <c r="J172" i="30"/>
  <c r="J167" i="30"/>
  <c r="BV147" i="12" s="1"/>
  <c r="J165" i="30"/>
  <c r="BV145" i="12" s="1"/>
  <c r="J170" i="30"/>
  <c r="J149" i="30"/>
  <c r="J152" i="30"/>
  <c r="J155" i="30"/>
  <c r="J164" i="30"/>
  <c r="J153" i="30"/>
  <c r="J156" i="30"/>
  <c r="J157" i="30"/>
  <c r="J151" i="30"/>
  <c r="J159" i="30"/>
  <c r="J150" i="30"/>
  <c r="J154" i="30"/>
  <c r="J134" i="30"/>
  <c r="J158" i="30"/>
  <c r="J119" i="30"/>
  <c r="BV99" i="12" s="1"/>
  <c r="J120" i="30"/>
  <c r="J123" i="30"/>
  <c r="J121" i="30"/>
  <c r="BV101" i="12" s="1"/>
  <c r="J91" i="30"/>
  <c r="J102" i="30"/>
  <c r="J99" i="30"/>
  <c r="J106" i="30"/>
  <c r="J109" i="30"/>
  <c r="J97" i="30"/>
  <c r="J104" i="30"/>
  <c r="J100" i="30"/>
  <c r="J107" i="30"/>
  <c r="J90" i="30"/>
  <c r="BV71" i="12" s="1"/>
  <c r="J98" i="30"/>
  <c r="J105" i="30"/>
  <c r="J89" i="30"/>
  <c r="BV70" i="12" s="1"/>
  <c r="J52" i="30"/>
  <c r="J87" i="30"/>
  <c r="BV68" i="12" s="1"/>
  <c r="J53" i="30"/>
  <c r="J85" i="30"/>
  <c r="J88" i="30"/>
  <c r="BV69" i="12" s="1"/>
  <c r="J54" i="30"/>
  <c r="BE71" i="12"/>
  <c r="I114" i="30"/>
  <c r="G133" i="30"/>
  <c r="F148" i="30"/>
  <c r="BR128" i="12" s="1"/>
  <c r="H92" i="30"/>
  <c r="H101" i="30"/>
  <c r="H126" i="30"/>
  <c r="H168" i="12"/>
  <c r="U168" i="33" s="1"/>
  <c r="F51" i="28"/>
  <c r="H170" i="12"/>
  <c r="U170" i="33" s="1"/>
  <c r="G139" i="28"/>
  <c r="G140" i="28"/>
  <c r="F139" i="28"/>
  <c r="F140" i="28"/>
  <c r="E140" i="28"/>
  <c r="E139" i="28"/>
  <c r="H205" i="26"/>
  <c r="H18" i="4" s="1"/>
  <c r="E139" i="26"/>
  <c r="E140" i="26"/>
  <c r="D169" i="12"/>
  <c r="Q169" i="33" s="1"/>
  <c r="E169" i="12"/>
  <c r="R169" i="33" s="1"/>
  <c r="R171" i="33" s="1"/>
  <c r="J203" i="32"/>
  <c r="K191" i="32"/>
  <c r="K99" i="32" s="1"/>
  <c r="AJ80" i="33" s="1"/>
  <c r="J98" i="32"/>
  <c r="AI79" i="33" s="1"/>
  <c r="AD106" i="33"/>
  <c r="AD10" i="33"/>
  <c r="I18" i="11"/>
  <c r="CH9" i="12"/>
  <c r="CH8" i="12"/>
  <c r="F166" i="12"/>
  <c r="F16" i="21" s="1"/>
  <c r="E165" i="26"/>
  <c r="Q145" i="12" s="1"/>
  <c r="G69" i="15"/>
  <c r="J90" i="14"/>
  <c r="J88" i="14"/>
  <c r="G110" i="14"/>
  <c r="Q145" i="14"/>
  <c r="G18" i="30"/>
  <c r="J89" i="14"/>
  <c r="K110" i="15"/>
  <c r="J183" i="14"/>
  <c r="G16" i="15"/>
  <c r="H39" i="15" s="1"/>
  <c r="H145" i="15" s="1"/>
  <c r="K188" i="26"/>
  <c r="K32" i="8"/>
  <c r="L145" i="14"/>
  <c r="H65" i="14"/>
  <c r="H42" i="14" s="1"/>
  <c r="N200" i="8"/>
  <c r="O255" i="8"/>
  <c r="M415" i="15"/>
  <c r="J372" i="8"/>
  <c r="J5" i="8"/>
  <c r="K4" i="8"/>
  <c r="I62" i="8"/>
  <c r="M401" i="15"/>
  <c r="M339" i="15"/>
  <c r="L62" i="15"/>
  <c r="L66" i="15" s="1"/>
  <c r="N9" i="14"/>
  <c r="O8" i="14"/>
  <c r="H56" i="14"/>
  <c r="H60" i="14" s="1"/>
  <c r="M409" i="15"/>
  <c r="J382" i="8"/>
  <c r="J343" i="8"/>
  <c r="O7" i="15"/>
  <c r="P6" i="15"/>
  <c r="J452" i="8"/>
  <c r="J445" i="8"/>
  <c r="J384" i="8"/>
  <c r="J414" i="8"/>
  <c r="J410" i="8"/>
  <c r="J419" i="8"/>
  <c r="J425" i="8"/>
  <c r="J357" i="8"/>
  <c r="J432" i="8"/>
  <c r="J345" i="8"/>
  <c r="J446" i="8"/>
  <c r="J390" i="8"/>
  <c r="J362" i="8"/>
  <c r="J416" i="8"/>
  <c r="J409" i="8"/>
  <c r="J454" i="8"/>
  <c r="J404" i="8"/>
  <c r="J438" i="8"/>
  <c r="J344" i="8"/>
  <c r="J339" i="8"/>
  <c r="J355" i="8"/>
  <c r="J351" i="8"/>
  <c r="J447" i="8"/>
  <c r="J443" i="8"/>
  <c r="J352" i="8"/>
  <c r="J448" i="8"/>
  <c r="J417" i="8"/>
  <c r="J391" i="8"/>
  <c r="J456" i="8"/>
  <c r="J451" i="8"/>
  <c r="J426" i="8"/>
  <c r="J356" i="8"/>
  <c r="J440" i="8"/>
  <c r="J450" i="8"/>
  <c r="J449" i="8"/>
  <c r="J402" i="8"/>
  <c r="J400" i="8"/>
  <c r="J411" i="8"/>
  <c r="J397" i="8"/>
  <c r="J336" i="8"/>
  <c r="J427" i="8"/>
  <c r="J341" i="8"/>
  <c r="J353" i="8"/>
  <c r="J401" i="8"/>
  <c r="J392" i="8"/>
  <c r="J395" i="8"/>
  <c r="J437" i="8"/>
  <c r="J423" i="8"/>
  <c r="J342" i="8"/>
  <c r="J422" i="8"/>
  <c r="J442" i="8"/>
  <c r="J441" i="8"/>
  <c r="J361" i="8"/>
  <c r="J393" i="8"/>
  <c r="J403" i="8"/>
  <c r="J455" i="8"/>
  <c r="J430" i="8"/>
  <c r="J435" i="8"/>
  <c r="J354" i="8"/>
  <c r="J335" i="8"/>
  <c r="J398" i="8"/>
  <c r="J389" i="8"/>
  <c r="J386" i="8"/>
  <c r="J360" i="8"/>
  <c r="J385" i="8"/>
  <c r="J413" i="8"/>
  <c r="J415" i="8"/>
  <c r="J348" i="8"/>
  <c r="J436" i="8"/>
  <c r="J431" i="8"/>
  <c r="J421" i="8"/>
  <c r="J399" i="8"/>
  <c r="J387" i="8"/>
  <c r="J458" i="8"/>
  <c r="J444" i="8"/>
  <c r="J406" i="8"/>
  <c r="J383" i="8"/>
  <c r="J420" i="8"/>
  <c r="J433" i="8"/>
  <c r="J428" i="8"/>
  <c r="J407" i="8"/>
  <c r="J418" i="8"/>
  <c r="J457" i="8"/>
  <c r="J367" i="8"/>
  <c r="J405" i="8"/>
  <c r="J347" i="8"/>
  <c r="J434" i="8"/>
  <c r="J338" i="8"/>
  <c r="J394" i="8"/>
  <c r="J388" i="8"/>
  <c r="J408" i="8"/>
  <c r="J453" i="8"/>
  <c r="J412" i="8"/>
  <c r="J396" i="8"/>
  <c r="J424" i="8"/>
  <c r="J429" i="8"/>
  <c r="J350" i="8"/>
  <c r="J334" i="8"/>
  <c r="J368" i="8"/>
  <c r="J370" i="8"/>
  <c r="M8" i="8"/>
  <c r="L9" i="8"/>
  <c r="I32" i="15"/>
  <c r="J364" i="8"/>
  <c r="M419" i="15"/>
  <c r="M321" i="15"/>
  <c r="J349" i="8"/>
  <c r="O4" i="14"/>
  <c r="I345" i="14"/>
  <c r="I368" i="14"/>
  <c r="I318" i="14"/>
  <c r="I414" i="14"/>
  <c r="I392" i="14"/>
  <c r="I388" i="14"/>
  <c r="I334" i="14"/>
  <c r="I404" i="14"/>
  <c r="I402" i="14"/>
  <c r="I338" i="14"/>
  <c r="I347" i="14"/>
  <c r="I395" i="14"/>
  <c r="I416" i="14"/>
  <c r="I399" i="14"/>
  <c r="I439" i="14"/>
  <c r="I331" i="14"/>
  <c r="I386" i="14"/>
  <c r="I380" i="14"/>
  <c r="I357" i="14"/>
  <c r="I408" i="14"/>
  <c r="I356" i="14"/>
  <c r="I398" i="14"/>
  <c r="I344" i="14"/>
  <c r="I350" i="14"/>
  <c r="I390" i="14"/>
  <c r="I438" i="14"/>
  <c r="I355" i="14"/>
  <c r="I420" i="14"/>
  <c r="I5" i="14"/>
  <c r="I341" i="14"/>
  <c r="I418" i="14"/>
  <c r="I370" i="14"/>
  <c r="I430" i="14"/>
  <c r="I406" i="14"/>
  <c r="I389" i="14"/>
  <c r="I407" i="14"/>
  <c r="I405" i="14"/>
  <c r="I372" i="14"/>
  <c r="I327" i="14"/>
  <c r="I434" i="14"/>
  <c r="I394" i="14"/>
  <c r="I411" i="14"/>
  <c r="I339" i="14"/>
  <c r="I400" i="14"/>
  <c r="I428" i="14"/>
  <c r="I335" i="14"/>
  <c r="I424" i="14"/>
  <c r="I342" i="14"/>
  <c r="I366" i="14"/>
  <c r="I381" i="14"/>
  <c r="I346" i="14"/>
  <c r="I409" i="14"/>
  <c r="I427" i="14"/>
  <c r="I419" i="14"/>
  <c r="I383" i="14"/>
  <c r="I412" i="14"/>
  <c r="I359" i="14"/>
  <c r="I321" i="14"/>
  <c r="I426" i="14"/>
  <c r="I433" i="14"/>
  <c r="I435" i="14"/>
  <c r="I391" i="14"/>
  <c r="I325" i="14"/>
  <c r="I393" i="14"/>
  <c r="I385" i="14"/>
  <c r="I351" i="14"/>
  <c r="I336" i="14"/>
  <c r="I377" i="14"/>
  <c r="I319" i="14"/>
  <c r="I63" i="14" s="1"/>
  <c r="I358" i="14"/>
  <c r="I371" i="14"/>
  <c r="I421" i="14"/>
  <c r="I65" i="14" s="1"/>
  <c r="I42" i="14" s="1"/>
  <c r="I436" i="14"/>
  <c r="I425" i="14"/>
  <c r="I423" i="14"/>
  <c r="I333" i="14"/>
  <c r="I328" i="14"/>
  <c r="I431" i="14"/>
  <c r="I396" i="14"/>
  <c r="I410" i="14"/>
  <c r="I360" i="14"/>
  <c r="I401" i="14"/>
  <c r="I382" i="14"/>
  <c r="I417" i="14"/>
  <c r="I348" i="14"/>
  <c r="I367" i="14"/>
  <c r="I384" i="14"/>
  <c r="I361" i="14"/>
  <c r="I440" i="14"/>
  <c r="I324" i="14"/>
  <c r="I415" i="14"/>
  <c r="I376" i="14"/>
  <c r="I369" i="14"/>
  <c r="I353" i="14"/>
  <c r="I316" i="14"/>
  <c r="I437" i="14"/>
  <c r="I362" i="14"/>
  <c r="I352" i="14"/>
  <c r="I343" i="14"/>
  <c r="I363" i="14"/>
  <c r="I364" i="14"/>
  <c r="I374" i="14"/>
  <c r="I330" i="14"/>
  <c r="I413" i="14"/>
  <c r="I375" i="14"/>
  <c r="I322" i="14"/>
  <c r="I379" i="14"/>
  <c r="I340" i="14"/>
  <c r="I365" i="14"/>
  <c r="I387" i="14"/>
  <c r="I378" i="14"/>
  <c r="I354" i="14"/>
  <c r="I373" i="14"/>
  <c r="I432" i="14"/>
  <c r="I429" i="14"/>
  <c r="I403" i="14"/>
  <c r="I397" i="14"/>
  <c r="I349" i="14"/>
  <c r="M327" i="15"/>
  <c r="J375" i="8"/>
  <c r="J439" i="8"/>
  <c r="J65" i="8" s="1"/>
  <c r="J42" i="8" s="1"/>
  <c r="E89" i="27"/>
  <c r="AD70" i="12" s="1"/>
  <c r="E90" i="27"/>
  <c r="AD71" i="12" s="1"/>
  <c r="J377" i="8"/>
  <c r="J379" i="8"/>
  <c r="M414" i="15"/>
  <c r="L213" i="15"/>
  <c r="K341" i="15"/>
  <c r="K56" i="15" s="1"/>
  <c r="K60" i="15" s="1"/>
  <c r="J340" i="8"/>
  <c r="J64" i="8" s="1"/>
  <c r="J373" i="8"/>
  <c r="F32" i="8"/>
  <c r="I326" i="14"/>
  <c r="Q244" i="14"/>
  <c r="Q178" i="14" s="1"/>
  <c r="Q180" i="14" s="1"/>
  <c r="P178" i="14"/>
  <c r="P180" i="14" s="1"/>
  <c r="M338" i="15"/>
  <c r="M417" i="15"/>
  <c r="J366" i="8"/>
  <c r="H71" i="14"/>
  <c r="O7" i="8"/>
  <c r="P6" i="8"/>
  <c r="J365" i="8"/>
  <c r="J376" i="8"/>
  <c r="O6" i="14"/>
  <c r="N7" i="14"/>
  <c r="J381" i="8"/>
  <c r="K66" i="15"/>
  <c r="M320" i="15"/>
  <c r="M373" i="15"/>
  <c r="M356" i="15"/>
  <c r="M337" i="15"/>
  <c r="M422" i="15"/>
  <c r="M342" i="15"/>
  <c r="M329" i="15"/>
  <c r="M366" i="15"/>
  <c r="M395" i="15"/>
  <c r="M368" i="15"/>
  <c r="M359" i="15"/>
  <c r="M384" i="15"/>
  <c r="M319" i="15"/>
  <c r="M394" i="15"/>
  <c r="M374" i="15"/>
  <c r="M382" i="15"/>
  <c r="M385" i="15"/>
  <c r="M358" i="15"/>
  <c r="M345" i="15"/>
  <c r="M431" i="15"/>
  <c r="M355" i="15"/>
  <c r="M379" i="15"/>
  <c r="M360" i="15"/>
  <c r="M328" i="15"/>
  <c r="M383" i="15"/>
  <c r="M354" i="15"/>
  <c r="M350" i="15"/>
  <c r="M365" i="15"/>
  <c r="M372" i="15"/>
  <c r="M347" i="15"/>
  <c r="M436" i="15"/>
  <c r="M316" i="15"/>
  <c r="M325" i="15"/>
  <c r="M361" i="15"/>
  <c r="M326" i="15"/>
  <c r="M357" i="15"/>
  <c r="M429" i="15"/>
  <c r="M435" i="15"/>
  <c r="M351" i="15"/>
  <c r="M399" i="15"/>
  <c r="M340" i="15"/>
  <c r="M349" i="15"/>
  <c r="M397" i="15"/>
  <c r="M332" i="15"/>
  <c r="M353" i="15"/>
  <c r="M371" i="15"/>
  <c r="M434" i="15"/>
  <c r="M432" i="15"/>
  <c r="M386" i="15"/>
  <c r="M352" i="15"/>
  <c r="M331" i="15"/>
  <c r="M348" i="15"/>
  <c r="M387" i="15"/>
  <c r="M376" i="15"/>
  <c r="M344" i="15"/>
  <c r="M400" i="15"/>
  <c r="M390" i="15"/>
  <c r="M377" i="15"/>
  <c r="M433" i="15"/>
  <c r="M398" i="15"/>
  <c r="M363" i="15"/>
  <c r="M364" i="15"/>
  <c r="M378" i="15"/>
  <c r="M439" i="15"/>
  <c r="M428" i="15"/>
  <c r="M323" i="15"/>
  <c r="M423" i="15"/>
  <c r="M322" i="15"/>
  <c r="M64" i="15" s="1"/>
  <c r="M438" i="15"/>
  <c r="M391" i="15"/>
  <c r="M375" i="15"/>
  <c r="M5" i="15"/>
  <c r="M367" i="15"/>
  <c r="M427" i="15"/>
  <c r="M389" i="15"/>
  <c r="M393" i="15"/>
  <c r="M425" i="15"/>
  <c r="M392" i="15"/>
  <c r="M426" i="15"/>
  <c r="M317" i="15"/>
  <c r="M346" i="15"/>
  <c r="M381" i="15"/>
  <c r="M343" i="15"/>
  <c r="M369" i="15"/>
  <c r="M437" i="15"/>
  <c r="M430" i="15"/>
  <c r="M335" i="15"/>
  <c r="M424" i="15"/>
  <c r="M396" i="15"/>
  <c r="M362" i="15"/>
  <c r="M370" i="15"/>
  <c r="M334" i="15"/>
  <c r="M421" i="15"/>
  <c r="M380" i="15"/>
  <c r="M440" i="15"/>
  <c r="M388" i="15"/>
  <c r="M410" i="15"/>
  <c r="M333" i="15"/>
  <c r="L245" i="14"/>
  <c r="K178" i="14"/>
  <c r="K180" i="14" s="1"/>
  <c r="K183" i="14" s="1"/>
  <c r="M402" i="15"/>
  <c r="J363" i="8"/>
  <c r="I66" i="8"/>
  <c r="I69" i="8" s="1"/>
  <c r="M199" i="28"/>
  <c r="M200" i="28" s="1"/>
  <c r="J378" i="8"/>
  <c r="J369" i="8"/>
  <c r="I59" i="8"/>
  <c r="I64" i="14"/>
  <c r="L65" i="15"/>
  <c r="L42" i="15" s="1"/>
  <c r="M82" i="14"/>
  <c r="M81" i="14"/>
  <c r="M84" i="14" s="1"/>
  <c r="M132" i="14"/>
  <c r="M124" i="14"/>
  <c r="M32" i="14" s="1"/>
  <c r="M79" i="14"/>
  <c r="M119" i="14"/>
  <c r="H62" i="14"/>
  <c r="H66" i="14" s="1"/>
  <c r="J374" i="8"/>
  <c r="E143" i="27"/>
  <c r="AD123" i="12" s="1"/>
  <c r="E19" i="26"/>
  <c r="AE105" i="33"/>
  <c r="T169" i="12"/>
  <c r="AE141" i="33"/>
  <c r="AE35" i="33"/>
  <c r="AE34" i="33"/>
  <c r="AE60" i="33"/>
  <c r="AE61" i="33"/>
  <c r="AE33" i="33"/>
  <c r="AH79" i="33"/>
  <c r="E17" i="27"/>
  <c r="BR171" i="12"/>
  <c r="E144" i="27"/>
  <c r="AD124" i="12" s="1"/>
  <c r="E20" i="27"/>
  <c r="J204" i="32"/>
  <c r="I204" i="26"/>
  <c r="U169" i="12" s="1"/>
  <c r="BX169" i="12"/>
  <c r="AD101" i="12"/>
  <c r="BT7" i="12"/>
  <c r="E19" i="27"/>
  <c r="E115" i="27"/>
  <c r="AD95" i="12" s="1"/>
  <c r="E147" i="27"/>
  <c r="AD127" i="12" s="1"/>
  <c r="AD45" i="33"/>
  <c r="BF121" i="12"/>
  <c r="E138" i="30"/>
  <c r="BQ118" i="12" s="1"/>
  <c r="BQ115" i="12"/>
  <c r="BE122" i="12"/>
  <c r="BU124" i="12"/>
  <c r="BU104" i="12"/>
  <c r="BU115" i="12"/>
  <c r="BU95" i="12"/>
  <c r="BU90" i="12"/>
  <c r="F185" i="28"/>
  <c r="E167" i="27"/>
  <c r="AD147" i="12" s="1"/>
  <c r="E185" i="27"/>
  <c r="E95" i="27" s="1"/>
  <c r="AD76" i="12" s="1"/>
  <c r="AD48" i="33"/>
  <c r="K6" i="32"/>
  <c r="J61" i="32"/>
  <c r="AI42" i="33" s="1"/>
  <c r="G18" i="29"/>
  <c r="I101" i="32"/>
  <c r="AH82" i="33" s="1"/>
  <c r="F118" i="32"/>
  <c r="AE98" i="33" s="1"/>
  <c r="G185" i="28"/>
  <c r="G95" i="28" s="1"/>
  <c r="F96" i="32"/>
  <c r="AE77" i="33" s="1"/>
  <c r="G78" i="32"/>
  <c r="G79" i="32"/>
  <c r="G28" i="32"/>
  <c r="G141" i="32"/>
  <c r="AF121" i="33" s="1"/>
  <c r="G115" i="32"/>
  <c r="AF95" i="33" s="1"/>
  <c r="G120" i="32"/>
  <c r="AF100" i="33" s="1"/>
  <c r="G122" i="32"/>
  <c r="AF102" i="33" s="1"/>
  <c r="G124" i="32"/>
  <c r="AF104" i="33" s="1"/>
  <c r="G134" i="32"/>
  <c r="AF114" i="33" s="1"/>
  <c r="G121" i="32"/>
  <c r="AF101" i="33" s="1"/>
  <c r="G123" i="32"/>
  <c r="AF103" i="33" s="1"/>
  <c r="G109" i="32"/>
  <c r="AF89" i="33" s="1"/>
  <c r="BS171" i="12"/>
  <c r="BU7" i="12"/>
  <c r="BF101" i="12"/>
  <c r="BF124" i="12"/>
  <c r="BF104" i="12"/>
  <c r="AQ145" i="12"/>
  <c r="BE126" i="12"/>
  <c r="BU116" i="12"/>
  <c r="BU91" i="12"/>
  <c r="BU101" i="12"/>
  <c r="BR126" i="12"/>
  <c r="E86" i="27"/>
  <c r="AD67" i="12" s="1"/>
  <c r="AD116" i="12"/>
  <c r="E116" i="27"/>
  <c r="AD96" i="12" s="1"/>
  <c r="E165" i="27"/>
  <c r="AD145" i="12" s="1"/>
  <c r="I185" i="29"/>
  <c r="I95" i="29" s="1"/>
  <c r="H185" i="29"/>
  <c r="J185" i="30"/>
  <c r="J95" i="30" s="1"/>
  <c r="G80" i="32"/>
  <c r="F126" i="32"/>
  <c r="AG169" i="33"/>
  <c r="AG171" i="33" s="1"/>
  <c r="G140" i="32"/>
  <c r="AF120" i="33" s="1"/>
  <c r="G139" i="32"/>
  <c r="AF119" i="33" s="1"/>
  <c r="F164" i="32"/>
  <c r="AE144" i="33" s="1"/>
  <c r="BT121" i="12"/>
  <c r="BQ121" i="12"/>
  <c r="BR121" i="12"/>
  <c r="E119" i="26"/>
  <c r="Q99" i="12" s="1"/>
  <c r="E185" i="26"/>
  <c r="E95" i="26" s="1"/>
  <c r="BQ171" i="12"/>
  <c r="I204" i="28"/>
  <c r="M204" i="30"/>
  <c r="BY169" i="12" s="1"/>
  <c r="G52" i="32"/>
  <c r="G54" i="32"/>
  <c r="G53" i="32"/>
  <c r="F140" i="32"/>
  <c r="AE120" i="33" s="1"/>
  <c r="F139" i="32"/>
  <c r="AE119" i="33" s="1"/>
  <c r="E139" i="32"/>
  <c r="AD119" i="33" s="1"/>
  <c r="E140" i="32"/>
  <c r="BU9" i="12"/>
  <c r="I41" i="15"/>
  <c r="H17" i="29"/>
  <c r="J37" i="15"/>
  <c r="I29" i="15"/>
  <c r="AR122" i="12"/>
  <c r="F20" i="28"/>
  <c r="F19" i="28"/>
  <c r="AR70" i="12"/>
  <c r="AR71" i="12"/>
  <c r="E8" i="4"/>
  <c r="E88" i="27"/>
  <c r="AD69" i="12" s="1"/>
  <c r="AD92" i="12"/>
  <c r="E141" i="27"/>
  <c r="AD121" i="12" s="1"/>
  <c r="E166" i="27"/>
  <c r="AD146" i="12" s="1"/>
  <c r="E117" i="27"/>
  <c r="AD97" i="12" s="1"/>
  <c r="AD90" i="12"/>
  <c r="E119" i="27"/>
  <c r="AD99" i="12" s="1"/>
  <c r="E135" i="27"/>
  <c r="AD115" i="12" s="1"/>
  <c r="E142" i="27"/>
  <c r="AD122" i="12" s="1"/>
  <c r="E146" i="27"/>
  <c r="AD126" i="12" s="1"/>
  <c r="J32" i="15"/>
  <c r="N201" i="8"/>
  <c r="BE12" i="12"/>
  <c r="Q16" i="8"/>
  <c r="Q38" i="8"/>
  <c r="Q27" i="8"/>
  <c r="Q33" i="8" s="1"/>
  <c r="Q53" i="8" s="1"/>
  <c r="Q163" i="8" s="1"/>
  <c r="H58" i="15"/>
  <c r="N53" i="14"/>
  <c r="J19" i="30"/>
  <c r="L86" i="15"/>
  <c r="N87" i="15" s="1"/>
  <c r="H19" i="29"/>
  <c r="I38" i="15"/>
  <c r="I145" i="15" s="1"/>
  <c r="H20" i="29"/>
  <c r="F17" i="28"/>
  <c r="BV146" i="12"/>
  <c r="AR99" i="12"/>
  <c r="I37" i="15"/>
  <c r="I80" i="15"/>
  <c r="M76" i="15"/>
  <c r="BS7" i="12"/>
  <c r="J17" i="30"/>
  <c r="J23" i="30" s="1"/>
  <c r="J83" i="30" s="1"/>
  <c r="J35" i="32" s="1"/>
  <c r="K33" i="15"/>
  <c r="M16" i="8"/>
  <c r="N39" i="8" s="1"/>
  <c r="F143" i="14"/>
  <c r="J35" i="15"/>
  <c r="J43" i="15" s="1"/>
  <c r="I16" i="15"/>
  <c r="J39" i="15" s="1"/>
  <c r="I28" i="15"/>
  <c r="J20" i="30"/>
  <c r="BV96" i="12"/>
  <c r="I35" i="15"/>
  <c r="K39" i="15"/>
  <c r="BR9" i="12"/>
  <c r="M41" i="8"/>
  <c r="G70" i="15"/>
  <c r="G71" i="14"/>
  <c r="J41" i="15"/>
  <c r="J28" i="15"/>
  <c r="F74" i="8"/>
  <c r="P251" i="8"/>
  <c r="O183" i="14"/>
  <c r="G67" i="15"/>
  <c r="O71" i="15"/>
  <c r="O145" i="14"/>
  <c r="N110" i="14"/>
  <c r="I20" i="29"/>
  <c r="E142" i="26"/>
  <c r="BR8" i="12"/>
  <c r="BU8" i="12"/>
  <c r="I18" i="30"/>
  <c r="I33" i="30" s="1"/>
  <c r="BU15" i="12" s="1"/>
  <c r="H58" i="14"/>
  <c r="M35" i="8"/>
  <c r="M43" i="8" s="1"/>
  <c r="M53" i="8" s="1"/>
  <c r="M163" i="8" s="1"/>
  <c r="M37" i="8"/>
  <c r="M110" i="14"/>
  <c r="J29" i="15"/>
  <c r="J38" i="15"/>
  <c r="J27" i="15"/>
  <c r="J33" i="15" s="1"/>
  <c r="E180" i="32"/>
  <c r="E182" i="32" s="1"/>
  <c r="E113" i="32" s="1"/>
  <c r="AD93" i="33" s="1"/>
  <c r="L110" i="14"/>
  <c r="I17" i="29"/>
  <c r="Q43" i="14"/>
  <c r="Q53" i="14" s="1"/>
  <c r="Q146" i="14" s="1"/>
  <c r="BF12" i="12"/>
  <c r="H67" i="15"/>
  <c r="E141" i="26"/>
  <c r="Q121" i="12" s="1"/>
  <c r="BH145" i="12"/>
  <c r="E167" i="26"/>
  <c r="E143" i="26"/>
  <c r="E135" i="26"/>
  <c r="E117" i="26"/>
  <c r="E166" i="26"/>
  <c r="E144" i="26"/>
  <c r="E115" i="26"/>
  <c r="E89" i="26"/>
  <c r="E86" i="26"/>
  <c r="F8" i="4"/>
  <c r="BQ12" i="12"/>
  <c r="H18" i="30"/>
  <c r="G92" i="14"/>
  <c r="G94" i="14" s="1"/>
  <c r="G151" i="14" s="1"/>
  <c r="E20" i="26"/>
  <c r="H183" i="15"/>
  <c r="I19" i="29"/>
  <c r="H74" i="8"/>
  <c r="M145" i="14"/>
  <c r="O111" i="15"/>
  <c r="E88" i="26"/>
  <c r="E116" i="26"/>
  <c r="E147" i="26"/>
  <c r="E146" i="26"/>
  <c r="BH101" i="12"/>
  <c r="E114" i="29"/>
  <c r="BD94" i="12" s="1"/>
  <c r="E145" i="29"/>
  <c r="BD125" i="12" s="1"/>
  <c r="E145" i="30"/>
  <c r="BQ125" i="12" s="1"/>
  <c r="BS118" i="12"/>
  <c r="E145" i="28"/>
  <c r="AQ125" i="12" s="1"/>
  <c r="G6" i="4"/>
  <c r="AS91" i="12"/>
  <c r="AS115" i="12"/>
  <c r="AS104" i="12"/>
  <c r="AS147" i="12"/>
  <c r="AS69" i="12"/>
  <c r="AS123" i="12"/>
  <c r="AS126" i="12"/>
  <c r="AS146" i="12"/>
  <c r="BT125" i="12"/>
  <c r="E118" i="29"/>
  <c r="BD98" i="12" s="1"/>
  <c r="E148" i="29"/>
  <c r="BD128" i="12" s="1"/>
  <c r="E114" i="30"/>
  <c r="BQ94" i="12" s="1"/>
  <c r="E148" i="30"/>
  <c r="BQ128" i="12" s="1"/>
  <c r="BT128" i="12"/>
  <c r="BT94" i="12"/>
  <c r="E138" i="29"/>
  <c r="BD118" i="12" s="1"/>
  <c r="E118" i="30"/>
  <c r="BQ98" i="12" s="1"/>
  <c r="BS125" i="12"/>
  <c r="BS128" i="12"/>
  <c r="BS98" i="12"/>
  <c r="E148" i="28"/>
  <c r="AQ128" i="12" s="1"/>
  <c r="E114" i="28"/>
  <c r="AQ94" i="12" s="1"/>
  <c r="E138" i="28"/>
  <c r="AQ118" i="12" s="1"/>
  <c r="BR98" i="12"/>
  <c r="E118" i="28"/>
  <c r="AQ98" i="12" s="1"/>
  <c r="H205" i="28"/>
  <c r="H40" i="4" s="1"/>
  <c r="G218" i="30"/>
  <c r="F218" i="27"/>
  <c r="J11" i="30"/>
  <c r="L6" i="28"/>
  <c r="K7" i="28"/>
  <c r="H11" i="29"/>
  <c r="BD9" i="12"/>
  <c r="H11" i="26"/>
  <c r="I5" i="26"/>
  <c r="I211" i="26" s="1"/>
  <c r="H205" i="27"/>
  <c r="H29" i="4" s="1"/>
  <c r="AG169" i="12"/>
  <c r="G27" i="21" s="1"/>
  <c r="K205" i="29"/>
  <c r="K51" i="4" s="1"/>
  <c r="L6" i="30"/>
  <c r="H9" i="28"/>
  <c r="K7" i="27"/>
  <c r="L6" i="27"/>
  <c r="L87" i="15"/>
  <c r="F18" i="29"/>
  <c r="BE9" i="12"/>
  <c r="BE8" i="12"/>
  <c r="F18" i="30"/>
  <c r="BR12" i="12"/>
  <c r="E18" i="29"/>
  <c r="BD12" i="12"/>
  <c r="BS9" i="12"/>
  <c r="BD8" i="12"/>
  <c r="BF9" i="12"/>
  <c r="E18" i="30"/>
  <c r="BQ8" i="12"/>
  <c r="BE171" i="12"/>
  <c r="J197" i="26"/>
  <c r="J204" i="26" s="1"/>
  <c r="H211" i="26"/>
  <c r="H210" i="26"/>
  <c r="H46" i="26" s="1"/>
  <c r="H217" i="26"/>
  <c r="H214" i="26"/>
  <c r="H212" i="26"/>
  <c r="H215" i="26"/>
  <c r="H216" i="26"/>
  <c r="H213" i="26"/>
  <c r="H209" i="26"/>
  <c r="G213" i="27"/>
  <c r="G212" i="27"/>
  <c r="G210" i="27"/>
  <c r="G46" i="27" s="1"/>
  <c r="G214" i="27"/>
  <c r="G216" i="27"/>
  <c r="G209" i="27"/>
  <c r="G43" i="27" s="1"/>
  <c r="G215" i="27"/>
  <c r="G211" i="27"/>
  <c r="G217" i="27"/>
  <c r="G213" i="29"/>
  <c r="G212" i="29"/>
  <c r="G210" i="29"/>
  <c r="G46" i="29" s="1"/>
  <c r="G47" i="29" s="1"/>
  <c r="G214" i="29"/>
  <c r="G211" i="29"/>
  <c r="G48" i="29" s="1"/>
  <c r="G50" i="29" s="1"/>
  <c r="G216" i="29"/>
  <c r="G215" i="29"/>
  <c r="G217" i="29"/>
  <c r="G209" i="29"/>
  <c r="G42" i="29" s="1"/>
  <c r="G44" i="29" s="1"/>
  <c r="H5" i="29"/>
  <c r="P203" i="30"/>
  <c r="K195" i="26"/>
  <c r="L190" i="32"/>
  <c r="O202" i="30"/>
  <c r="CA170" i="12" s="1"/>
  <c r="M196" i="29"/>
  <c r="L194" i="32"/>
  <c r="F25" i="21"/>
  <c r="D25" i="21"/>
  <c r="J199" i="27"/>
  <c r="J200" i="27" s="1"/>
  <c r="AI168" i="12" s="1"/>
  <c r="G209" i="28"/>
  <c r="G42" i="28" s="1"/>
  <c r="G44" i="28" s="1"/>
  <c r="G211" i="28"/>
  <c r="G48" i="28" s="1"/>
  <c r="G50" i="28" s="1"/>
  <c r="G215" i="28"/>
  <c r="G217" i="28"/>
  <c r="G210" i="28"/>
  <c r="G46" i="28" s="1"/>
  <c r="G216" i="28"/>
  <c r="G213" i="28"/>
  <c r="G212" i="28"/>
  <c r="G214" i="28"/>
  <c r="K189" i="32"/>
  <c r="K98" i="32" s="1"/>
  <c r="AJ79" i="33" s="1"/>
  <c r="G210" i="32"/>
  <c r="G213" i="32"/>
  <c r="G212" i="32"/>
  <c r="G209" i="32"/>
  <c r="G215" i="32"/>
  <c r="G217" i="32"/>
  <c r="G214" i="32"/>
  <c r="G211" i="32"/>
  <c r="G216" i="32"/>
  <c r="H5" i="32"/>
  <c r="H213" i="30"/>
  <c r="H212" i="30"/>
  <c r="H210" i="30"/>
  <c r="H46" i="30" s="1"/>
  <c r="H47" i="30" s="1"/>
  <c r="H214" i="30"/>
  <c r="H216" i="30"/>
  <c r="H209" i="30"/>
  <c r="H42" i="30" s="1"/>
  <c r="H44" i="30" s="1"/>
  <c r="H215" i="30"/>
  <c r="H211" i="30"/>
  <c r="H48" i="30" s="1"/>
  <c r="H50" i="30" s="1"/>
  <c r="H217" i="30"/>
  <c r="I5" i="30"/>
  <c r="O193" i="32"/>
  <c r="L189" i="26"/>
  <c r="K203" i="26"/>
  <c r="O195" i="32"/>
  <c r="L193" i="26"/>
  <c r="F218" i="29"/>
  <c r="BD171" i="12"/>
  <c r="J204" i="28"/>
  <c r="O190" i="29"/>
  <c r="M199" i="29"/>
  <c r="M200" i="29" s="1"/>
  <c r="N188" i="29"/>
  <c r="N50" i="4" s="1"/>
  <c r="L204" i="29"/>
  <c r="BK169" i="12" s="1"/>
  <c r="BK168" i="12"/>
  <c r="G53" i="14"/>
  <c r="G146" i="14" s="1"/>
  <c r="G145" i="15"/>
  <c r="K145" i="14"/>
  <c r="M53" i="14"/>
  <c r="M146" i="14" s="1"/>
  <c r="L53" i="14"/>
  <c r="L146" i="14" s="1"/>
  <c r="K184" i="15"/>
  <c r="K111" i="15"/>
  <c r="K80" i="15"/>
  <c r="O76" i="15"/>
  <c r="O80" i="15" s="1"/>
  <c r="J80" i="15"/>
  <c r="N76" i="15"/>
  <c r="N80" i="15" s="1"/>
  <c r="L58" i="15"/>
  <c r="R164" i="33"/>
  <c r="E164" i="33" s="1"/>
  <c r="P185" i="15"/>
  <c r="N193" i="29"/>
  <c r="M197" i="29"/>
  <c r="M203" i="29"/>
  <c r="BI169" i="12"/>
  <c r="BG171" i="12"/>
  <c r="G29" i="21"/>
  <c r="G38" i="21" s="1"/>
  <c r="O194" i="29"/>
  <c r="J205" i="29"/>
  <c r="J51" i="4" s="1"/>
  <c r="H29" i="21"/>
  <c r="H38" i="21" s="1"/>
  <c r="BH171" i="12"/>
  <c r="K6" i="29"/>
  <c r="J7" i="29"/>
  <c r="F29" i="21"/>
  <c r="F38" i="21" s="1"/>
  <c r="BF171" i="12"/>
  <c r="O192" i="29"/>
  <c r="K10" i="29"/>
  <c r="N195" i="29"/>
  <c r="M202" i="29"/>
  <c r="N191" i="29"/>
  <c r="BK170" i="12"/>
  <c r="BJ169" i="12"/>
  <c r="K8" i="29"/>
  <c r="J9" i="29"/>
  <c r="J9" i="30"/>
  <c r="J80" i="30" s="1"/>
  <c r="K8" i="30"/>
  <c r="N199" i="30"/>
  <c r="N200" i="30" s="1"/>
  <c r="N197" i="30"/>
  <c r="L4" i="30"/>
  <c r="N10" i="30"/>
  <c r="I40" i="21"/>
  <c r="BV171" i="12"/>
  <c r="BT171" i="12"/>
  <c r="BY168" i="12"/>
  <c r="BU171" i="12"/>
  <c r="H40" i="21"/>
  <c r="AS171" i="12"/>
  <c r="F28" i="21"/>
  <c r="F37" i="21" s="1"/>
  <c r="I11" i="28"/>
  <c r="J10" i="28"/>
  <c r="L8" i="28"/>
  <c r="L196" i="28"/>
  <c r="L192" i="28"/>
  <c r="F218" i="28"/>
  <c r="M4" i="28"/>
  <c r="M190" i="28"/>
  <c r="AX168" i="12"/>
  <c r="D28" i="21"/>
  <c r="D37" i="21" s="1"/>
  <c r="AQ171" i="12"/>
  <c r="L194" i="28"/>
  <c r="E28" i="21"/>
  <c r="E37" i="21" s="1"/>
  <c r="AR171" i="12"/>
  <c r="L195" i="28"/>
  <c r="L193" i="28"/>
  <c r="L191" i="28"/>
  <c r="K202" i="28"/>
  <c r="AV170" i="12"/>
  <c r="K203" i="28"/>
  <c r="K197" i="28"/>
  <c r="AT169" i="12"/>
  <c r="H5" i="28"/>
  <c r="L4" i="27"/>
  <c r="I9" i="27"/>
  <c r="J8" i="27"/>
  <c r="K191" i="27"/>
  <c r="J202" i="27"/>
  <c r="AI170" i="12" s="1"/>
  <c r="E27" i="21"/>
  <c r="E36" i="21" s="1"/>
  <c r="AE171" i="12"/>
  <c r="M203" i="27"/>
  <c r="N189" i="27"/>
  <c r="K10" i="27"/>
  <c r="K195" i="27"/>
  <c r="I204" i="27"/>
  <c r="F27" i="21"/>
  <c r="F36" i="21" s="1"/>
  <c r="AF171" i="12"/>
  <c r="D27" i="21"/>
  <c r="D36" i="21" s="1"/>
  <c r="AD171" i="12"/>
  <c r="H5" i="27"/>
  <c r="K193" i="27"/>
  <c r="K199" i="27"/>
  <c r="K200" i="27" s="1"/>
  <c r="L188" i="27"/>
  <c r="L28" i="4" s="1"/>
  <c r="J197" i="27"/>
  <c r="M190" i="27"/>
  <c r="K196" i="27"/>
  <c r="K194" i="27"/>
  <c r="K192" i="27"/>
  <c r="I11" i="27"/>
  <c r="H205" i="32"/>
  <c r="H11" i="32"/>
  <c r="L190" i="26"/>
  <c r="K196" i="26"/>
  <c r="D26" i="21"/>
  <c r="D35" i="21" s="1"/>
  <c r="Q171" i="12"/>
  <c r="L192" i="26"/>
  <c r="K194" i="26"/>
  <c r="L6" i="26"/>
  <c r="K7" i="26"/>
  <c r="K4" i="26"/>
  <c r="V168" i="12"/>
  <c r="K202" i="26"/>
  <c r="W170" i="12" s="1"/>
  <c r="L191" i="26"/>
  <c r="J9" i="26"/>
  <c r="K8" i="26"/>
  <c r="J10" i="26"/>
  <c r="F26" i="21"/>
  <c r="S171" i="12"/>
  <c r="E26" i="21"/>
  <c r="E35" i="21" s="1"/>
  <c r="R171" i="12"/>
  <c r="K4" i="32"/>
  <c r="E25" i="21"/>
  <c r="J7" i="32"/>
  <c r="K196" i="32"/>
  <c r="P10" i="32"/>
  <c r="N8" i="32"/>
  <c r="L188" i="32"/>
  <c r="I204" i="32"/>
  <c r="I205" i="32" s="1"/>
  <c r="AH170" i="33"/>
  <c r="N192" i="32"/>
  <c r="H9" i="32"/>
  <c r="G72" i="15"/>
  <c r="G110" i="15"/>
  <c r="G73" i="15"/>
  <c r="I145" i="14"/>
  <c r="O33" i="14"/>
  <c r="O53" i="14" s="1"/>
  <c r="O146" i="14" s="1"/>
  <c r="O110" i="14"/>
  <c r="F28" i="8"/>
  <c r="F27" i="8"/>
  <c r="F35" i="8"/>
  <c r="F43" i="8" s="1"/>
  <c r="F37" i="8"/>
  <c r="F16" i="8"/>
  <c r="G39" i="8" s="1"/>
  <c r="F29" i="8"/>
  <c r="F38" i="8"/>
  <c r="F162" i="8" s="1"/>
  <c r="H183" i="14"/>
  <c r="H92" i="14" s="1"/>
  <c r="H94" i="14" s="1"/>
  <c r="K33" i="14"/>
  <c r="K53" i="14" s="1"/>
  <c r="K146" i="14" s="1"/>
  <c r="K110" i="14"/>
  <c r="H68" i="15"/>
  <c r="H75" i="15" s="1"/>
  <c r="H70" i="15"/>
  <c r="H72" i="15"/>
  <c r="H73" i="15"/>
  <c r="G111" i="15"/>
  <c r="G184" i="15"/>
  <c r="G183" i="15"/>
  <c r="H92" i="15" s="1"/>
  <c r="H94" i="15" s="1"/>
  <c r="H89" i="15"/>
  <c r="H111" i="15"/>
  <c r="H184" i="15"/>
  <c r="H88" i="15"/>
  <c r="H90" i="15"/>
  <c r="Q184" i="15"/>
  <c r="Q111" i="15"/>
  <c r="Q183" i="15"/>
  <c r="O71" i="14"/>
  <c r="H110" i="14"/>
  <c r="H33" i="14"/>
  <c r="H53" i="14" s="1"/>
  <c r="H146" i="14" s="1"/>
  <c r="P250" i="8"/>
  <c r="N241" i="8"/>
  <c r="L38" i="8"/>
  <c r="L37" i="8"/>
  <c r="L16" i="8"/>
  <c r="M39" i="8" s="1"/>
  <c r="M162" i="8" s="1"/>
  <c r="L41" i="8"/>
  <c r="L27" i="8"/>
  <c r="L33" i="8" s="1"/>
  <c r="L35" i="8"/>
  <c r="L43" i="8" s="1"/>
  <c r="N240" i="8"/>
  <c r="N184" i="15"/>
  <c r="N111" i="15"/>
  <c r="N183" i="15"/>
  <c r="O27" i="8"/>
  <c r="O33" i="8" s="1"/>
  <c r="O35" i="8"/>
  <c r="O43" i="8" s="1"/>
  <c r="O16" i="8"/>
  <c r="P39" i="8" s="1"/>
  <c r="O41" i="8"/>
  <c r="O38" i="8"/>
  <c r="O37" i="8"/>
  <c r="N27" i="8"/>
  <c r="N33" i="8" s="1"/>
  <c r="N41" i="8"/>
  <c r="N35" i="8"/>
  <c r="N43" i="8" s="1"/>
  <c r="N38" i="8"/>
  <c r="N162" i="8" s="1"/>
  <c r="N37" i="8"/>
  <c r="N16" i="8"/>
  <c r="O39" i="8" s="1"/>
  <c r="K27" i="8"/>
  <c r="K33" i="8" s="1"/>
  <c r="K29" i="8"/>
  <c r="K37" i="8"/>
  <c r="K41" i="8"/>
  <c r="K38" i="8"/>
  <c r="K16" i="8"/>
  <c r="L39" i="8" s="1"/>
  <c r="K28" i="8"/>
  <c r="K35" i="8"/>
  <c r="K43" i="8" s="1"/>
  <c r="K77" i="8"/>
  <c r="J183" i="15"/>
  <c r="K92" i="15" s="1"/>
  <c r="I53" i="8"/>
  <c r="I163" i="8" s="1"/>
  <c r="J145" i="14"/>
  <c r="G19" i="28"/>
  <c r="G17" i="28"/>
  <c r="G20" i="28"/>
  <c r="M235" i="8"/>
  <c r="I183" i="15"/>
  <c r="I92" i="15" s="1"/>
  <c r="I94" i="15" s="1"/>
  <c r="F182" i="27"/>
  <c r="M236" i="8"/>
  <c r="G69" i="8"/>
  <c r="G74" i="8"/>
  <c r="F110" i="15"/>
  <c r="F33" i="15"/>
  <c r="F53" i="15" s="1"/>
  <c r="K91" i="14"/>
  <c r="M86" i="14"/>
  <c r="M87" i="14"/>
  <c r="I143" i="14"/>
  <c r="I71" i="14"/>
  <c r="I183" i="14"/>
  <c r="J92" i="14" s="1"/>
  <c r="I80" i="8"/>
  <c r="J16" i="8"/>
  <c r="K39" i="8" s="1"/>
  <c r="J38" i="8"/>
  <c r="J162" i="8" s="1"/>
  <c r="J28" i="8"/>
  <c r="J37" i="8"/>
  <c r="J27" i="8"/>
  <c r="J33" i="8" s="1"/>
  <c r="J35" i="8"/>
  <c r="J43" i="8" s="1"/>
  <c r="J29" i="8"/>
  <c r="J41" i="8"/>
  <c r="J80" i="8"/>
  <c r="F68" i="15"/>
  <c r="F75" i="15" s="1"/>
  <c r="F70" i="15"/>
  <c r="F73" i="15"/>
  <c r="F72" i="15"/>
  <c r="I72" i="15"/>
  <c r="I70" i="15"/>
  <c r="I68" i="15"/>
  <c r="I75" i="15" s="1"/>
  <c r="I73" i="15"/>
  <c r="J68" i="15"/>
  <c r="J75" i="15" s="1"/>
  <c r="J72" i="15"/>
  <c r="J70" i="15"/>
  <c r="J73" i="15"/>
  <c r="I68" i="8"/>
  <c r="I75" i="8" s="1"/>
  <c r="F202" i="8"/>
  <c r="F94" i="8"/>
  <c r="F96" i="8"/>
  <c r="F98" i="8"/>
  <c r="F100" i="8"/>
  <c r="F102" i="8"/>
  <c r="F95" i="8"/>
  <c r="F99" i="8"/>
  <c r="F103" i="8"/>
  <c r="F107" i="8"/>
  <c r="F128" i="8"/>
  <c r="F93" i="8"/>
  <c r="F97" i="8"/>
  <c r="F101" i="8"/>
  <c r="G202" i="8"/>
  <c r="G93" i="8"/>
  <c r="G95" i="8"/>
  <c r="G97" i="8"/>
  <c r="G99" i="8"/>
  <c r="G101" i="8"/>
  <c r="G103" i="8"/>
  <c r="G107" i="8"/>
  <c r="G94" i="8"/>
  <c r="G98" i="8"/>
  <c r="G102" i="8"/>
  <c r="G201" i="8"/>
  <c r="G96" i="8"/>
  <c r="G100" i="8"/>
  <c r="G128" i="8"/>
  <c r="G459" i="8"/>
  <c r="G57" i="8" s="1"/>
  <c r="G67" i="8" s="1"/>
  <c r="G58" i="8"/>
  <c r="O246" i="8"/>
  <c r="H181" i="28"/>
  <c r="H182" i="28" s="1"/>
  <c r="H113" i="28" s="1"/>
  <c r="AT165" i="12"/>
  <c r="BX165" i="12"/>
  <c r="L181" i="30"/>
  <c r="BI165" i="12"/>
  <c r="J181" i="29"/>
  <c r="J182" i="29" s="1"/>
  <c r="K168" i="15"/>
  <c r="K171" i="15" s="1"/>
  <c r="F146" i="14"/>
  <c r="F58" i="15"/>
  <c r="F441" i="15"/>
  <c r="F67" i="15" s="1"/>
  <c r="N146" i="14"/>
  <c r="L91" i="14"/>
  <c r="N87" i="14"/>
  <c r="N86" i="14"/>
  <c r="H146" i="15"/>
  <c r="J184" i="14"/>
  <c r="H202" i="8"/>
  <c r="H93" i="8"/>
  <c r="H95" i="8"/>
  <c r="H97" i="8"/>
  <c r="H99" i="8"/>
  <c r="H101" i="8"/>
  <c r="H103" i="8"/>
  <c r="H107" i="8"/>
  <c r="H94" i="8"/>
  <c r="H98" i="8"/>
  <c r="H102" i="8"/>
  <c r="H201" i="8"/>
  <c r="H96" i="8"/>
  <c r="H100" i="8"/>
  <c r="H128" i="8"/>
  <c r="H459" i="8"/>
  <c r="H57" i="8" s="1"/>
  <c r="H67" i="8" s="1"/>
  <c r="H58" i="8"/>
  <c r="H16" i="8"/>
  <c r="I39" i="8" s="1"/>
  <c r="I162" i="8" s="1"/>
  <c r="H27" i="8"/>
  <c r="H33" i="8" s="1"/>
  <c r="H29" i="8"/>
  <c r="H35" i="8"/>
  <c r="H43" i="8" s="1"/>
  <c r="H38" i="8"/>
  <c r="H28" i="8"/>
  <c r="H37" i="8"/>
  <c r="L76" i="8"/>
  <c r="L77" i="8"/>
  <c r="H80" i="8"/>
  <c r="P38" i="8"/>
  <c r="P35" i="8"/>
  <c r="P43" i="8" s="1"/>
  <c r="P41" i="8"/>
  <c r="P16" i="8"/>
  <c r="Q39" i="8" s="1"/>
  <c r="P27" i="8"/>
  <c r="P33" i="8" s="1"/>
  <c r="P37" i="8"/>
  <c r="O245" i="8"/>
  <c r="P231" i="8"/>
  <c r="K292" i="15"/>
  <c r="K420" i="15" s="1"/>
  <c r="K283" i="15"/>
  <c r="K411" i="15" s="1"/>
  <c r="K290" i="15"/>
  <c r="K418" i="15" s="1"/>
  <c r="K279" i="15"/>
  <c r="K407" i="15" s="1"/>
  <c r="K275" i="15"/>
  <c r="K403" i="15" s="1"/>
  <c r="I58" i="14"/>
  <c r="I441" i="14"/>
  <c r="K76" i="8"/>
  <c r="J32" i="8"/>
  <c r="F89" i="15"/>
  <c r="F90" i="15"/>
  <c r="F111" i="15"/>
  <c r="G89" i="15"/>
  <c r="F88" i="15"/>
  <c r="F184" i="15"/>
  <c r="G90" i="15"/>
  <c r="G88" i="15"/>
  <c r="I90" i="15"/>
  <c r="I89" i="15"/>
  <c r="I111" i="15"/>
  <c r="I88" i="15"/>
  <c r="I184" i="15"/>
  <c r="J441" i="15"/>
  <c r="J442" i="15" s="1"/>
  <c r="J58" i="15"/>
  <c r="J90" i="15"/>
  <c r="J89" i="15"/>
  <c r="J184" i="15"/>
  <c r="J88" i="15"/>
  <c r="J111" i="15"/>
  <c r="K90" i="15"/>
  <c r="K89" i="15"/>
  <c r="K88" i="15"/>
  <c r="I202" i="8"/>
  <c r="I93" i="8"/>
  <c r="I101" i="8"/>
  <c r="I94" i="8"/>
  <c r="I107" i="8"/>
  <c r="I95" i="8"/>
  <c r="I97" i="8"/>
  <c r="I99" i="8"/>
  <c r="I102" i="8"/>
  <c r="I128" i="8"/>
  <c r="I96" i="8"/>
  <c r="I100" i="8"/>
  <c r="I98" i="8"/>
  <c r="I103" i="8"/>
  <c r="K230" i="8"/>
  <c r="J358" i="8"/>
  <c r="J56" i="8" s="1"/>
  <c r="J60" i="8" s="1"/>
  <c r="J195" i="8"/>
  <c r="J197" i="8" s="1"/>
  <c r="I459" i="8"/>
  <c r="I57" i="8" s="1"/>
  <c r="I58" i="8"/>
  <c r="F70" i="8"/>
  <c r="F72" i="8"/>
  <c r="F73" i="8"/>
  <c r="F68" i="8"/>
  <c r="F75" i="8" s="1"/>
  <c r="F168" i="8" s="1"/>
  <c r="F459" i="8"/>
  <c r="F57" i="8" s="1"/>
  <c r="F67" i="8" s="1"/>
  <c r="F58" i="8"/>
  <c r="G68" i="8"/>
  <c r="G75" i="8" s="1"/>
  <c r="G73" i="8"/>
  <c r="G72" i="8"/>
  <c r="G70" i="8"/>
  <c r="G16" i="8"/>
  <c r="H39" i="8" s="1"/>
  <c r="G27" i="8"/>
  <c r="G33" i="8" s="1"/>
  <c r="G29" i="8"/>
  <c r="G35" i="8"/>
  <c r="G43" i="8" s="1"/>
  <c r="G38" i="8"/>
  <c r="G37" i="8"/>
  <c r="G28" i="8"/>
  <c r="G32" i="8"/>
  <c r="P230" i="8"/>
  <c r="O195" i="8"/>
  <c r="O197" i="8" s="1"/>
  <c r="N202" i="8"/>
  <c r="BW165" i="12"/>
  <c r="K181" i="30"/>
  <c r="K182" i="30" s="1"/>
  <c r="L180" i="30"/>
  <c r="BX164" i="12"/>
  <c r="E18" i="28"/>
  <c r="AQ7" i="12"/>
  <c r="AQ12" i="12"/>
  <c r="F183" i="15"/>
  <c r="I110" i="14"/>
  <c r="I33" i="14"/>
  <c r="I53" i="14" s="1"/>
  <c r="J110" i="14"/>
  <c r="J33" i="14"/>
  <c r="J53" i="14" s="1"/>
  <c r="F58" i="14"/>
  <c r="F60" i="14" s="1"/>
  <c r="F441" i="14"/>
  <c r="K91" i="15"/>
  <c r="M86" i="15"/>
  <c r="M87" i="15"/>
  <c r="I441" i="15"/>
  <c r="I67" i="15" s="1"/>
  <c r="I58" i="15"/>
  <c r="O183" i="15"/>
  <c r="O185" i="15"/>
  <c r="J359" i="8"/>
  <c r="K231" i="8"/>
  <c r="I201" i="8"/>
  <c r="H68" i="8"/>
  <c r="H75" i="8" s="1"/>
  <c r="H73" i="8"/>
  <c r="H72" i="8"/>
  <c r="H70" i="8"/>
  <c r="H32" i="8"/>
  <c r="D165" i="33"/>
  <c r="D166" i="33" s="1"/>
  <c r="Q166" i="33"/>
  <c r="L13" i="30"/>
  <c r="O110" i="15"/>
  <c r="M110" i="15"/>
  <c r="N110" i="15"/>
  <c r="G185" i="32"/>
  <c r="G95" i="32" s="1"/>
  <c r="AF76" i="33" s="1"/>
  <c r="H11" i="4"/>
  <c r="T166" i="12"/>
  <c r="AF164" i="12"/>
  <c r="G180" i="27"/>
  <c r="H22" i="4"/>
  <c r="AG166" i="12"/>
  <c r="G18" i="21" s="1"/>
  <c r="Q33" i="15"/>
  <c r="Q110" i="15"/>
  <c r="S164" i="12"/>
  <c r="G180" i="26"/>
  <c r="F17" i="21"/>
  <c r="G12" i="4"/>
  <c r="F181" i="26"/>
  <c r="F182" i="26" s="1"/>
  <c r="R165" i="12"/>
  <c r="E165" i="12" s="1"/>
  <c r="P33" i="15"/>
  <c r="P110" i="15"/>
  <c r="G23" i="4"/>
  <c r="L110" i="15"/>
  <c r="L33" i="15"/>
  <c r="H137" i="29" l="1"/>
  <c r="H113" i="29"/>
  <c r="BG93" i="12" s="1"/>
  <c r="J144" i="30"/>
  <c r="J113" i="30"/>
  <c r="BV93" i="12" s="1"/>
  <c r="I148" i="30"/>
  <c r="L30" i="21"/>
  <c r="H96" i="30"/>
  <c r="G26" i="28"/>
  <c r="G29" i="28" s="1"/>
  <c r="G23" i="28"/>
  <c r="E26" i="27"/>
  <c r="E23" i="27"/>
  <c r="F136" i="27"/>
  <c r="F42" i="27"/>
  <c r="F44" i="27" s="1"/>
  <c r="F48" i="27"/>
  <c r="F50" i="27" s="1"/>
  <c r="F137" i="27"/>
  <c r="AE117" i="12" s="1"/>
  <c r="F45" i="27"/>
  <c r="F47" i="27" s="1"/>
  <c r="F113" i="27"/>
  <c r="K197" i="32"/>
  <c r="K199" i="26"/>
  <c r="K200" i="26" s="1"/>
  <c r="K17" i="4"/>
  <c r="F45" i="26"/>
  <c r="F47" i="26" s="1"/>
  <c r="F42" i="26"/>
  <c r="F44" i="26" s="1"/>
  <c r="F48" i="26"/>
  <c r="F50" i="26" s="1"/>
  <c r="F113" i="26"/>
  <c r="R93" i="12" s="1"/>
  <c r="E83" i="26"/>
  <c r="L191" i="32"/>
  <c r="AD120" i="33"/>
  <c r="F67" i="32"/>
  <c r="AE48" i="33" s="1"/>
  <c r="G46" i="32"/>
  <c r="AF27" i="33" s="1"/>
  <c r="J101" i="32"/>
  <c r="AI82" i="33" s="1"/>
  <c r="K40" i="21"/>
  <c r="K30" i="21"/>
  <c r="K39" i="21" s="1"/>
  <c r="F26" i="28"/>
  <c r="F23" i="28"/>
  <c r="F83" i="28" s="1"/>
  <c r="G49" i="32"/>
  <c r="AF30" i="33" s="1"/>
  <c r="I133" i="30"/>
  <c r="I26" i="29"/>
  <c r="I23" i="29"/>
  <c r="H26" i="29"/>
  <c r="BG8" i="12" s="1"/>
  <c r="H23" i="29"/>
  <c r="H83" i="29" s="1"/>
  <c r="E83" i="29"/>
  <c r="E84" i="29"/>
  <c r="E24" i="29"/>
  <c r="BD6" i="12" s="1"/>
  <c r="I126" i="30"/>
  <c r="J84" i="30"/>
  <c r="K45" i="30"/>
  <c r="H137" i="28"/>
  <c r="H136" i="28"/>
  <c r="AT116" i="12" s="1"/>
  <c r="H45" i="28"/>
  <c r="F118" i="28"/>
  <c r="G47" i="28"/>
  <c r="E83" i="28"/>
  <c r="E84" i="28"/>
  <c r="AQ65" i="12" s="1"/>
  <c r="E48" i="32"/>
  <c r="E66" i="32" s="1"/>
  <c r="E68" i="32" s="1"/>
  <c r="E45" i="32"/>
  <c r="E63" i="32" s="1"/>
  <c r="E42" i="32"/>
  <c r="H24" i="34"/>
  <c r="CG6" i="12" s="1"/>
  <c r="H83" i="34"/>
  <c r="G84" i="29"/>
  <c r="BF65" i="12" s="1"/>
  <c r="G24" i="29"/>
  <c r="BF6" i="12" s="1"/>
  <c r="F84" i="29"/>
  <c r="F24" i="29"/>
  <c r="BT65" i="12"/>
  <c r="H24" i="30"/>
  <c r="BT6" i="12" s="1"/>
  <c r="BR65" i="12"/>
  <c r="F24" i="30"/>
  <c r="BR6" i="12" s="1"/>
  <c r="I24" i="30"/>
  <c r="BS65" i="12"/>
  <c r="G24" i="30"/>
  <c r="BS6" i="12" s="1"/>
  <c r="H29" i="30"/>
  <c r="G92" i="29"/>
  <c r="H136" i="29"/>
  <c r="J45" i="29"/>
  <c r="G218" i="26"/>
  <c r="F51" i="26"/>
  <c r="F136" i="26"/>
  <c r="F137" i="26"/>
  <c r="L188" i="26"/>
  <c r="L17" i="4" s="1"/>
  <c r="G126" i="29"/>
  <c r="E29" i="28"/>
  <c r="AQ11" i="12" s="1"/>
  <c r="F148" i="28"/>
  <c r="G138" i="29"/>
  <c r="BF8" i="12"/>
  <c r="G145" i="29"/>
  <c r="BF125" i="12" s="1"/>
  <c r="G148" i="29"/>
  <c r="BF128" i="12" s="1"/>
  <c r="H130" i="29"/>
  <c r="G133" i="29"/>
  <c r="H143" i="29"/>
  <c r="BG123" i="12" s="1"/>
  <c r="H112" i="29"/>
  <c r="BG92" i="12" s="1"/>
  <c r="G114" i="29"/>
  <c r="BF94" i="12" s="1"/>
  <c r="BU126" i="12"/>
  <c r="I145" i="30"/>
  <c r="J79" i="30"/>
  <c r="BT9" i="12"/>
  <c r="BU5" i="12"/>
  <c r="G55" i="30"/>
  <c r="BU123" i="12"/>
  <c r="J122" i="30"/>
  <c r="J142" i="30"/>
  <c r="J141" i="30"/>
  <c r="J136" i="30"/>
  <c r="E29" i="30"/>
  <c r="J125" i="30"/>
  <c r="J28" i="30" s="1"/>
  <c r="J115" i="30"/>
  <c r="J118" i="30" s="1"/>
  <c r="J135" i="30"/>
  <c r="I86" i="30"/>
  <c r="I92" i="30" s="1"/>
  <c r="I93" i="30"/>
  <c r="I94" i="30"/>
  <c r="H51" i="30"/>
  <c r="H55" i="30" s="1"/>
  <c r="J124" i="30"/>
  <c r="J127" i="30"/>
  <c r="J111" i="30"/>
  <c r="I138" i="30"/>
  <c r="BU118" i="12" s="1"/>
  <c r="J131" i="30"/>
  <c r="J128" i="30"/>
  <c r="J143" i="30"/>
  <c r="J130" i="30"/>
  <c r="J137" i="30"/>
  <c r="J132" i="30"/>
  <c r="J146" i="30"/>
  <c r="J110" i="30"/>
  <c r="BV90" i="12" s="1"/>
  <c r="J129" i="30"/>
  <c r="J147" i="30"/>
  <c r="J139" i="30"/>
  <c r="J112" i="30"/>
  <c r="J140" i="30"/>
  <c r="H125" i="29"/>
  <c r="H28" i="29" s="1"/>
  <c r="H127" i="29"/>
  <c r="H135" i="29"/>
  <c r="H122" i="29"/>
  <c r="H132" i="29"/>
  <c r="H142" i="29"/>
  <c r="H129" i="29"/>
  <c r="H139" i="29"/>
  <c r="H115" i="29"/>
  <c r="H118" i="29" s="1"/>
  <c r="J85" i="29"/>
  <c r="G51" i="29"/>
  <c r="G55" i="29" s="1"/>
  <c r="H124" i="29"/>
  <c r="BG104" i="12" s="1"/>
  <c r="H147" i="29"/>
  <c r="BG127" i="12" s="1"/>
  <c r="H144" i="29"/>
  <c r="BG124" i="12" s="1"/>
  <c r="G118" i="29"/>
  <c r="BF98" i="12" s="1"/>
  <c r="H131" i="29"/>
  <c r="H140" i="29"/>
  <c r="H128" i="29"/>
  <c r="H111" i="29"/>
  <c r="H86" i="29"/>
  <c r="BG67" i="12" s="1"/>
  <c r="H94" i="29"/>
  <c r="H93" i="29"/>
  <c r="H146" i="29"/>
  <c r="BG126" i="12" s="1"/>
  <c r="H141" i="29"/>
  <c r="BG121" i="12" s="1"/>
  <c r="H110" i="29"/>
  <c r="BG90" i="12" s="1"/>
  <c r="F108" i="28"/>
  <c r="G108" i="28"/>
  <c r="G51" i="28"/>
  <c r="G55" i="28" s="1"/>
  <c r="F29" i="28"/>
  <c r="H80" i="28"/>
  <c r="H82" i="28"/>
  <c r="F114" i="28"/>
  <c r="AR94" i="12" s="1"/>
  <c r="G145" i="28"/>
  <c r="AS125" i="12" s="1"/>
  <c r="E29" i="27"/>
  <c r="I168" i="12"/>
  <c r="V168" i="33" s="1"/>
  <c r="I168" i="33" s="1"/>
  <c r="F53" i="27"/>
  <c r="F125" i="26"/>
  <c r="F28" i="26" s="1"/>
  <c r="H82" i="32"/>
  <c r="I82" i="32" s="1"/>
  <c r="J82" i="32" s="1"/>
  <c r="H125" i="32"/>
  <c r="H28" i="32" s="1"/>
  <c r="K162" i="30"/>
  <c r="K164" i="30" s="1"/>
  <c r="I29" i="30"/>
  <c r="J25" i="30"/>
  <c r="BV7" i="12" s="1"/>
  <c r="J30" i="30"/>
  <c r="BV12" i="12" s="1"/>
  <c r="J26" i="30"/>
  <c r="BV8" i="12" s="1"/>
  <c r="J27" i="30"/>
  <c r="BV9" i="12" s="1"/>
  <c r="G29" i="30"/>
  <c r="F29" i="30"/>
  <c r="G101" i="28"/>
  <c r="G92" i="28"/>
  <c r="I101" i="29"/>
  <c r="F55" i="29"/>
  <c r="H84" i="34"/>
  <c r="CG65" i="12" s="1"/>
  <c r="CG5" i="12"/>
  <c r="I8" i="11"/>
  <c r="J23" i="15"/>
  <c r="J25" i="15" s="1"/>
  <c r="J145" i="15" s="1"/>
  <c r="BF5" i="12"/>
  <c r="J19" i="11"/>
  <c r="K29" i="14"/>
  <c r="K29" i="15"/>
  <c r="F126" i="28"/>
  <c r="BS5" i="12"/>
  <c r="J82" i="29"/>
  <c r="J103" i="29"/>
  <c r="J167" i="29"/>
  <c r="BI147" i="12" s="1"/>
  <c r="J170" i="29"/>
  <c r="J165" i="29"/>
  <c r="BI145" i="12" s="1"/>
  <c r="J168" i="29"/>
  <c r="J116" i="29"/>
  <c r="J171" i="29"/>
  <c r="J117" i="29"/>
  <c r="J166" i="29"/>
  <c r="BI146" i="12" s="1"/>
  <c r="J172" i="29"/>
  <c r="J155" i="29"/>
  <c r="J150" i="29"/>
  <c r="J158" i="29"/>
  <c r="J161" i="29"/>
  <c r="J164" i="29" s="1"/>
  <c r="J153" i="29"/>
  <c r="J156" i="29"/>
  <c r="J151" i="29"/>
  <c r="J159" i="29"/>
  <c r="J154" i="29"/>
  <c r="J169" i="29"/>
  <c r="J149" i="29"/>
  <c r="J157" i="29"/>
  <c r="J134" i="29"/>
  <c r="J152" i="29"/>
  <c r="J121" i="29"/>
  <c r="J123" i="29"/>
  <c r="J119" i="29"/>
  <c r="BI99" i="12" s="1"/>
  <c r="J120" i="29"/>
  <c r="J90" i="29"/>
  <c r="BI71" i="12" s="1"/>
  <c r="J102" i="29"/>
  <c r="J99" i="29"/>
  <c r="J106" i="29"/>
  <c r="J91" i="29"/>
  <c r="J109" i="29"/>
  <c r="J97" i="29"/>
  <c r="J104" i="29"/>
  <c r="J100" i="29"/>
  <c r="J107" i="29"/>
  <c r="J88" i="29"/>
  <c r="BI69" i="12" s="1"/>
  <c r="J80" i="29"/>
  <c r="J53" i="29"/>
  <c r="J105" i="29"/>
  <c r="J78" i="29"/>
  <c r="J89" i="29"/>
  <c r="BI70" i="12" s="1"/>
  <c r="J98" i="29"/>
  <c r="J87" i="29"/>
  <c r="BI68" i="12" s="1"/>
  <c r="J54" i="29"/>
  <c r="J79" i="29"/>
  <c r="J52" i="29"/>
  <c r="H160" i="29"/>
  <c r="F82" i="26"/>
  <c r="F111" i="26"/>
  <c r="F103" i="26"/>
  <c r="F112" i="26"/>
  <c r="F110" i="26"/>
  <c r="R90" i="12" s="1"/>
  <c r="F117" i="26"/>
  <c r="R97" i="12" s="1"/>
  <c r="F166" i="26"/>
  <c r="R146" i="12" s="1"/>
  <c r="F169" i="26"/>
  <c r="F115" i="26"/>
  <c r="R95" i="12" s="1"/>
  <c r="F172" i="26"/>
  <c r="F167" i="26"/>
  <c r="F170" i="26"/>
  <c r="F116" i="26"/>
  <c r="R96" i="12" s="1"/>
  <c r="F165" i="26"/>
  <c r="R145" i="12" s="1"/>
  <c r="F171" i="26"/>
  <c r="F150" i="26"/>
  <c r="F168" i="26"/>
  <c r="F161" i="26"/>
  <c r="F164" i="26" s="1"/>
  <c r="F151" i="26"/>
  <c r="F152" i="26"/>
  <c r="F155" i="26"/>
  <c r="F158" i="26"/>
  <c r="F149" i="26"/>
  <c r="F156" i="26"/>
  <c r="F159" i="26"/>
  <c r="F153" i="26"/>
  <c r="F154" i="26"/>
  <c r="F157" i="26"/>
  <c r="F134" i="26"/>
  <c r="F143" i="26"/>
  <c r="R123" i="12" s="1"/>
  <c r="F147" i="26"/>
  <c r="R127" i="12" s="1"/>
  <c r="F135" i="26"/>
  <c r="F141" i="26"/>
  <c r="R121" i="12" s="1"/>
  <c r="F144" i="26"/>
  <c r="F132" i="26"/>
  <c r="F127" i="26"/>
  <c r="F146" i="26"/>
  <c r="R126" i="12" s="1"/>
  <c r="F130" i="26"/>
  <c r="F128" i="26"/>
  <c r="F142" i="26"/>
  <c r="F131" i="26"/>
  <c r="F129" i="26"/>
  <c r="F124" i="26"/>
  <c r="R104" i="12" s="1"/>
  <c r="F121" i="26"/>
  <c r="F122" i="26"/>
  <c r="F119" i="26"/>
  <c r="R99" i="12" s="1"/>
  <c r="F123" i="26"/>
  <c r="F120" i="26"/>
  <c r="F99" i="26"/>
  <c r="F91" i="26"/>
  <c r="F94" i="26"/>
  <c r="F97" i="26"/>
  <c r="F98" i="26"/>
  <c r="F90" i="26"/>
  <c r="R71" i="12" s="1"/>
  <c r="F107" i="26"/>
  <c r="F53" i="26"/>
  <c r="F100" i="26"/>
  <c r="F85" i="26"/>
  <c r="F104" i="26"/>
  <c r="F109" i="26"/>
  <c r="F105" i="26"/>
  <c r="F88" i="26"/>
  <c r="F93" i="26"/>
  <c r="F54" i="26"/>
  <c r="F87" i="26"/>
  <c r="R68" i="12" s="1"/>
  <c r="F102" i="26"/>
  <c r="F86" i="26"/>
  <c r="R67" i="12" s="1"/>
  <c r="F106" i="26"/>
  <c r="F89" i="26"/>
  <c r="R70" i="12" s="1"/>
  <c r="F52" i="26"/>
  <c r="F78" i="26"/>
  <c r="F79" i="26"/>
  <c r="F80" i="26"/>
  <c r="K82" i="30"/>
  <c r="K103" i="30"/>
  <c r="K165" i="30"/>
  <c r="K168" i="30"/>
  <c r="K171" i="30"/>
  <c r="K166" i="30"/>
  <c r="BW146" i="12" s="1"/>
  <c r="K116" i="30"/>
  <c r="K169" i="30"/>
  <c r="K117" i="30"/>
  <c r="K172" i="30"/>
  <c r="K170" i="30"/>
  <c r="K149" i="30"/>
  <c r="K157" i="30"/>
  <c r="K152" i="30"/>
  <c r="K167" i="30"/>
  <c r="K150" i="30"/>
  <c r="K158" i="30"/>
  <c r="K153" i="30"/>
  <c r="K154" i="30"/>
  <c r="K156" i="30"/>
  <c r="K151" i="30"/>
  <c r="K155" i="30"/>
  <c r="K134" i="30"/>
  <c r="K159" i="30"/>
  <c r="K119" i="30"/>
  <c r="K120" i="30"/>
  <c r="K123" i="30"/>
  <c r="K91" i="30"/>
  <c r="K102" i="30"/>
  <c r="K99" i="30"/>
  <c r="K106" i="30"/>
  <c r="K109" i="30"/>
  <c r="K97" i="30"/>
  <c r="K104" i="30"/>
  <c r="K121" i="30"/>
  <c r="K100" i="30"/>
  <c r="K107" i="30"/>
  <c r="K90" i="30"/>
  <c r="BW71" i="12" s="1"/>
  <c r="K89" i="30"/>
  <c r="K52" i="30"/>
  <c r="K105" i="30"/>
  <c r="K87" i="30"/>
  <c r="K98" i="30"/>
  <c r="K53" i="30"/>
  <c r="K85" i="30"/>
  <c r="K88" i="30"/>
  <c r="K54" i="30"/>
  <c r="I170" i="12"/>
  <c r="V170" i="33" s="1"/>
  <c r="I170" i="33" s="1"/>
  <c r="F140" i="26"/>
  <c r="J148" i="30"/>
  <c r="J145" i="30"/>
  <c r="G133" i="28"/>
  <c r="G148" i="28"/>
  <c r="H101" i="29"/>
  <c r="G96" i="28"/>
  <c r="E110" i="32"/>
  <c r="AD90" i="33" s="1"/>
  <c r="E111" i="32"/>
  <c r="AD91" i="33" s="1"/>
  <c r="E112" i="32"/>
  <c r="AD92" i="33" s="1"/>
  <c r="E127" i="32"/>
  <c r="E128" i="32"/>
  <c r="AD108" i="33" s="1"/>
  <c r="AD7" i="12"/>
  <c r="BT5" i="12"/>
  <c r="H108" i="29"/>
  <c r="F92" i="28"/>
  <c r="F138" i="28"/>
  <c r="AR118" i="12" s="1"/>
  <c r="I173" i="29"/>
  <c r="Q65" i="12"/>
  <c r="AS76" i="12"/>
  <c r="BH76" i="12"/>
  <c r="J108" i="30"/>
  <c r="G126" i="28"/>
  <c r="G118" i="28"/>
  <c r="AS98" i="12" s="1"/>
  <c r="BU76" i="12"/>
  <c r="BV97" i="12"/>
  <c r="F55" i="28"/>
  <c r="J101" i="30"/>
  <c r="J160" i="30"/>
  <c r="G114" i="28"/>
  <c r="F101" i="28"/>
  <c r="F173" i="28"/>
  <c r="G83" i="28"/>
  <c r="AR127" i="12"/>
  <c r="G138" i="28"/>
  <c r="G160" i="28"/>
  <c r="H95" i="29"/>
  <c r="H173" i="29"/>
  <c r="F133" i="28"/>
  <c r="I108" i="29"/>
  <c r="F103" i="27"/>
  <c r="F112" i="27"/>
  <c r="AE92" i="12" s="1"/>
  <c r="F110" i="27"/>
  <c r="F82" i="27"/>
  <c r="F111" i="27"/>
  <c r="AE91" i="12" s="1"/>
  <c r="F116" i="27"/>
  <c r="AE96" i="12" s="1"/>
  <c r="F168" i="27"/>
  <c r="F171" i="27"/>
  <c r="F166" i="27"/>
  <c r="AE146" i="12" s="1"/>
  <c r="F117" i="27"/>
  <c r="AE97" i="12" s="1"/>
  <c r="F169" i="27"/>
  <c r="F172" i="27"/>
  <c r="F115" i="27"/>
  <c r="AE95" i="12" s="1"/>
  <c r="F167" i="27"/>
  <c r="F165" i="27"/>
  <c r="F161" i="27"/>
  <c r="F164" i="27" s="1"/>
  <c r="F150" i="27"/>
  <c r="F158" i="27"/>
  <c r="F153" i="27"/>
  <c r="F156" i="27"/>
  <c r="F151" i="27"/>
  <c r="F159" i="27"/>
  <c r="F154" i="27"/>
  <c r="F170" i="27"/>
  <c r="F149" i="27"/>
  <c r="F157" i="27"/>
  <c r="F152" i="27"/>
  <c r="F141" i="27"/>
  <c r="AE121" i="12" s="1"/>
  <c r="F146" i="27"/>
  <c r="F155" i="27"/>
  <c r="F144" i="27"/>
  <c r="F139" i="27"/>
  <c r="F134" i="27"/>
  <c r="F142" i="27"/>
  <c r="AE122" i="12" s="1"/>
  <c r="F147" i="27"/>
  <c r="AE127" i="12" s="1"/>
  <c r="F135" i="27"/>
  <c r="F143" i="27"/>
  <c r="AE123" i="12" s="1"/>
  <c r="F130" i="27"/>
  <c r="F128" i="27"/>
  <c r="F140" i="27"/>
  <c r="F131" i="27"/>
  <c r="F129" i="27"/>
  <c r="F132" i="27"/>
  <c r="F127" i="27"/>
  <c r="F124" i="27"/>
  <c r="AE104" i="12" s="1"/>
  <c r="F94" i="27"/>
  <c r="F100" i="27"/>
  <c r="F107" i="27"/>
  <c r="F121" i="27"/>
  <c r="AE101" i="12" s="1"/>
  <c r="F90" i="27"/>
  <c r="AE71" i="12" s="1"/>
  <c r="F122" i="27"/>
  <c r="F98" i="27"/>
  <c r="F105" i="27"/>
  <c r="F125" i="27"/>
  <c r="F28" i="27" s="1"/>
  <c r="F119" i="27"/>
  <c r="F91" i="27"/>
  <c r="F102" i="27"/>
  <c r="F123" i="27"/>
  <c r="F93" i="27"/>
  <c r="F99" i="27"/>
  <c r="F106" i="27"/>
  <c r="F120" i="27"/>
  <c r="F109" i="27"/>
  <c r="F104" i="27"/>
  <c r="F97" i="27"/>
  <c r="AE93" i="12"/>
  <c r="F78" i="27"/>
  <c r="F86" i="27"/>
  <c r="F89" i="27"/>
  <c r="F79" i="27"/>
  <c r="F51" i="27"/>
  <c r="F87" i="27"/>
  <c r="F54" i="27"/>
  <c r="F80" i="27"/>
  <c r="F85" i="27"/>
  <c r="F52" i="27"/>
  <c r="F88" i="27"/>
  <c r="H111" i="28"/>
  <c r="AT91" i="12" s="1"/>
  <c r="H112" i="28"/>
  <c r="H103" i="28"/>
  <c r="H117" i="28"/>
  <c r="AT97" i="12" s="1"/>
  <c r="H110" i="28"/>
  <c r="H141" i="28"/>
  <c r="AT121" i="12" s="1"/>
  <c r="H169" i="28"/>
  <c r="H172" i="28"/>
  <c r="H115" i="28"/>
  <c r="AT95" i="12" s="1"/>
  <c r="H167" i="28"/>
  <c r="H116" i="28"/>
  <c r="AT96" i="12" s="1"/>
  <c r="H170" i="28"/>
  <c r="H165" i="28"/>
  <c r="H168" i="28"/>
  <c r="H166" i="28"/>
  <c r="AT146" i="12" s="1"/>
  <c r="H154" i="28"/>
  <c r="H149" i="28"/>
  <c r="H157" i="28"/>
  <c r="H163" i="28"/>
  <c r="H164" i="28" s="1"/>
  <c r="H152" i="28"/>
  <c r="H155" i="28"/>
  <c r="H150" i="28"/>
  <c r="H158" i="28"/>
  <c r="H153" i="28"/>
  <c r="H156" i="28"/>
  <c r="H171" i="28"/>
  <c r="H134" i="28"/>
  <c r="H144" i="28"/>
  <c r="AT124" i="12" s="1"/>
  <c r="H146" i="28"/>
  <c r="H151" i="28"/>
  <c r="H142" i="28"/>
  <c r="H135" i="28"/>
  <c r="H147" i="28"/>
  <c r="AT127" i="12" s="1"/>
  <c r="H159" i="28"/>
  <c r="H143" i="28"/>
  <c r="AT123" i="12" s="1"/>
  <c r="H129" i="28"/>
  <c r="H132" i="28"/>
  <c r="H127" i="28"/>
  <c r="H130" i="28"/>
  <c r="H128" i="28"/>
  <c r="H131" i="28"/>
  <c r="H122" i="28"/>
  <c r="H121" i="28"/>
  <c r="AT101" i="12" s="1"/>
  <c r="H125" i="28"/>
  <c r="H28" i="28" s="1"/>
  <c r="H119" i="28"/>
  <c r="H90" i="28"/>
  <c r="AT71" i="12" s="1"/>
  <c r="H123" i="28"/>
  <c r="H93" i="28"/>
  <c r="H120" i="28"/>
  <c r="H91" i="28"/>
  <c r="H124" i="28"/>
  <c r="AT104" i="12" s="1"/>
  <c r="H97" i="28"/>
  <c r="H98" i="28"/>
  <c r="H102" i="28"/>
  <c r="H106" i="28"/>
  <c r="AT93" i="12"/>
  <c r="H99" i="28"/>
  <c r="H104" i="28"/>
  <c r="H107" i="28"/>
  <c r="H109" i="28"/>
  <c r="H94" i="28"/>
  <c r="H87" i="28"/>
  <c r="AT68" i="12" s="1"/>
  <c r="H53" i="28"/>
  <c r="H85" i="28"/>
  <c r="H105" i="28"/>
  <c r="H88" i="28"/>
  <c r="H54" i="28"/>
  <c r="H86" i="28"/>
  <c r="AT67" i="12" s="1"/>
  <c r="H52" i="28"/>
  <c r="H89" i="28"/>
  <c r="AT70" i="12" s="1"/>
  <c r="H78" i="28"/>
  <c r="H100" i="28"/>
  <c r="H79" i="28"/>
  <c r="AS124" i="12"/>
  <c r="F95" i="28"/>
  <c r="F96" i="28" s="1"/>
  <c r="F160" i="28"/>
  <c r="I160" i="29"/>
  <c r="F55" i="30"/>
  <c r="BH12" i="12"/>
  <c r="I83" i="29"/>
  <c r="AR9" i="12"/>
  <c r="BV76" i="12"/>
  <c r="AR95" i="12"/>
  <c r="F139" i="26"/>
  <c r="J173" i="30"/>
  <c r="G173" i="28"/>
  <c r="F145" i="28"/>
  <c r="AR125" i="12" s="1"/>
  <c r="J205" i="28"/>
  <c r="J40" i="4" s="1"/>
  <c r="AU169" i="12"/>
  <c r="H28" i="21" s="1"/>
  <c r="H139" i="28"/>
  <c r="H140" i="28"/>
  <c r="V169" i="12"/>
  <c r="V171" i="12" s="1"/>
  <c r="I205" i="26"/>
  <c r="I18" i="4" s="1"/>
  <c r="AE106" i="33"/>
  <c r="AE10" i="33"/>
  <c r="J18" i="11"/>
  <c r="CI8" i="12"/>
  <c r="CI9" i="12"/>
  <c r="K28" i="14"/>
  <c r="K28" i="15"/>
  <c r="J110" i="15"/>
  <c r="F164" i="12"/>
  <c r="G166" i="12"/>
  <c r="BR5" i="12"/>
  <c r="BQ5" i="12"/>
  <c r="BQ65" i="12"/>
  <c r="F184" i="32"/>
  <c r="F184" i="34"/>
  <c r="BE5" i="12"/>
  <c r="BE65" i="12"/>
  <c r="E184" i="29"/>
  <c r="E184" i="34"/>
  <c r="BD5" i="12"/>
  <c r="BD65" i="12"/>
  <c r="D121" i="12"/>
  <c r="D145" i="12"/>
  <c r="Q145" i="33" s="1"/>
  <c r="D99" i="12"/>
  <c r="F171" i="12"/>
  <c r="D171" i="12"/>
  <c r="E171" i="12"/>
  <c r="G26" i="21"/>
  <c r="G169" i="12"/>
  <c r="T169" i="33" s="1"/>
  <c r="G169" i="33" s="1"/>
  <c r="G171" i="33" s="1"/>
  <c r="T171" i="12"/>
  <c r="K184" i="14"/>
  <c r="K92" i="14"/>
  <c r="K94" i="14" s="1"/>
  <c r="K70" i="15"/>
  <c r="K72" i="15"/>
  <c r="K442" i="15"/>
  <c r="K73" i="15"/>
  <c r="K68" i="15"/>
  <c r="K75" i="15" s="1"/>
  <c r="K67" i="15"/>
  <c r="H69" i="14"/>
  <c r="H74" i="14"/>
  <c r="H67" i="14"/>
  <c r="P7" i="8"/>
  <c r="Q6" i="8"/>
  <c r="Q7" i="8" s="1"/>
  <c r="J59" i="8"/>
  <c r="L4" i="8"/>
  <c r="K5" i="8"/>
  <c r="K69" i="15"/>
  <c r="K74" i="15"/>
  <c r="Q184" i="14"/>
  <c r="P4" i="14"/>
  <c r="H68" i="14"/>
  <c r="H75" i="14" s="1"/>
  <c r="H72" i="14"/>
  <c r="H73" i="14"/>
  <c r="H70" i="14"/>
  <c r="K365" i="8"/>
  <c r="K403" i="8"/>
  <c r="K404" i="8"/>
  <c r="K411" i="8"/>
  <c r="K408" i="8"/>
  <c r="K455" i="8"/>
  <c r="K336" i="8"/>
  <c r="K357" i="8"/>
  <c r="K354" i="8"/>
  <c r="K420" i="8"/>
  <c r="K352" i="8"/>
  <c r="K367" i="8"/>
  <c r="K409" i="8"/>
  <c r="K454" i="8"/>
  <c r="K384" i="8"/>
  <c r="K402" i="8"/>
  <c r="K418" i="8"/>
  <c r="K426" i="8"/>
  <c r="K440" i="8"/>
  <c r="K355" i="8"/>
  <c r="K431" i="8"/>
  <c r="K428" i="8"/>
  <c r="K394" i="8"/>
  <c r="K445" i="8"/>
  <c r="K360" i="8"/>
  <c r="K413" i="8"/>
  <c r="K392" i="8"/>
  <c r="K393" i="8"/>
  <c r="K438" i="8"/>
  <c r="K432" i="8"/>
  <c r="K429" i="8"/>
  <c r="K419" i="8"/>
  <c r="K398" i="8"/>
  <c r="K407" i="8"/>
  <c r="K361" i="8"/>
  <c r="K406" i="8"/>
  <c r="K410" i="8"/>
  <c r="K385" i="8"/>
  <c r="K437" i="8"/>
  <c r="K345" i="8"/>
  <c r="K435" i="8"/>
  <c r="K342" i="8"/>
  <c r="K448" i="8"/>
  <c r="K366" i="8"/>
  <c r="K457" i="8"/>
  <c r="K415" i="8"/>
  <c r="K416" i="8"/>
  <c r="K430" i="8"/>
  <c r="K350" i="8"/>
  <c r="K423" i="8"/>
  <c r="K347" i="8"/>
  <c r="K442" i="8"/>
  <c r="K447" i="8"/>
  <c r="K453" i="8"/>
  <c r="K414" i="8"/>
  <c r="K405" i="8"/>
  <c r="K348" i="8"/>
  <c r="K341" i="8"/>
  <c r="K434" i="8"/>
  <c r="K436" i="8"/>
  <c r="K390" i="8"/>
  <c r="K449" i="8"/>
  <c r="K388" i="8"/>
  <c r="K362" i="8"/>
  <c r="K412" i="8"/>
  <c r="K372" i="8"/>
  <c r="K397" i="8"/>
  <c r="K422" i="8"/>
  <c r="K427" i="8"/>
  <c r="K335" i="8"/>
  <c r="K387" i="8"/>
  <c r="K450" i="8"/>
  <c r="K386" i="8"/>
  <c r="K391" i="8"/>
  <c r="K456" i="8"/>
  <c r="K395" i="8"/>
  <c r="K452" i="8"/>
  <c r="K344" i="8"/>
  <c r="K424" i="8"/>
  <c r="K425" i="8"/>
  <c r="K399" i="8"/>
  <c r="K441" i="8"/>
  <c r="K446" i="8"/>
  <c r="K400" i="8"/>
  <c r="K383" i="8"/>
  <c r="K59" i="8" s="1"/>
  <c r="K417" i="8"/>
  <c r="K338" i="8"/>
  <c r="K351" i="8"/>
  <c r="K356" i="8"/>
  <c r="K444" i="8"/>
  <c r="K353" i="8"/>
  <c r="K451" i="8"/>
  <c r="K396" i="8"/>
  <c r="K389" i="8"/>
  <c r="K421" i="8"/>
  <c r="K401" i="8"/>
  <c r="K458" i="8"/>
  <c r="K433" i="8"/>
  <c r="K339" i="8"/>
  <c r="K443" i="8"/>
  <c r="K370" i="8"/>
  <c r="K373" i="8"/>
  <c r="K375" i="8"/>
  <c r="K382" i="8"/>
  <c r="K343" i="8"/>
  <c r="K380" i="8"/>
  <c r="K349" i="8"/>
  <c r="K364" i="8"/>
  <c r="K374" i="8"/>
  <c r="K378" i="8"/>
  <c r="K337" i="8"/>
  <c r="K63" i="8" s="1"/>
  <c r="K369" i="8"/>
  <c r="K377" i="8"/>
  <c r="K363" i="8"/>
  <c r="K371" i="8"/>
  <c r="K368" i="8"/>
  <c r="K340" i="8"/>
  <c r="K64" i="8" s="1"/>
  <c r="K334" i="8"/>
  <c r="K439" i="8"/>
  <c r="K65" i="8" s="1"/>
  <c r="K42" i="8" s="1"/>
  <c r="K376" i="8"/>
  <c r="K379" i="8"/>
  <c r="K346" i="8"/>
  <c r="K381" i="8"/>
  <c r="I67" i="8"/>
  <c r="I70" i="8"/>
  <c r="E184" i="30"/>
  <c r="BQ35" i="12" s="1"/>
  <c r="J58" i="8"/>
  <c r="J459" i="8"/>
  <c r="J57" i="8" s="1"/>
  <c r="O9" i="14"/>
  <c r="P8" i="14"/>
  <c r="I72" i="8"/>
  <c r="M65" i="15"/>
  <c r="M42" i="15" s="1"/>
  <c r="J406" i="14"/>
  <c r="J354" i="14"/>
  <c r="J385" i="14"/>
  <c r="J409" i="14"/>
  <c r="J349" i="14"/>
  <c r="J333" i="14"/>
  <c r="J336" i="14"/>
  <c r="J379" i="14"/>
  <c r="J398" i="14"/>
  <c r="J431" i="14"/>
  <c r="J435" i="14"/>
  <c r="J423" i="14"/>
  <c r="J319" i="14"/>
  <c r="J364" i="14"/>
  <c r="J390" i="14"/>
  <c r="J402" i="14"/>
  <c r="J350" i="14"/>
  <c r="J370" i="14"/>
  <c r="J405" i="14"/>
  <c r="J345" i="14"/>
  <c r="J325" i="14"/>
  <c r="J440" i="14"/>
  <c r="J376" i="14"/>
  <c r="J371" i="14"/>
  <c r="J331" i="14"/>
  <c r="J407" i="14"/>
  <c r="J428" i="14"/>
  <c r="J387" i="14"/>
  <c r="J375" i="14"/>
  <c r="J368" i="14"/>
  <c r="J382" i="14"/>
  <c r="J342" i="14"/>
  <c r="J362" i="14"/>
  <c r="J381" i="14"/>
  <c r="J425" i="14"/>
  <c r="J356" i="14"/>
  <c r="J416" i="14"/>
  <c r="J438" i="14"/>
  <c r="J369" i="14"/>
  <c r="J433" i="14"/>
  <c r="J361" i="14"/>
  <c r="J359" i="14"/>
  <c r="J372" i="14"/>
  <c r="J422" i="14"/>
  <c r="J378" i="14"/>
  <c r="J338" i="14"/>
  <c r="J318" i="14"/>
  <c r="J420" i="14"/>
  <c r="J352" i="14"/>
  <c r="J408" i="14"/>
  <c r="J335" i="14"/>
  <c r="J324" i="14"/>
  <c r="J394" i="14"/>
  <c r="J437" i="14"/>
  <c r="J403" i="14"/>
  <c r="J383" i="14"/>
  <c r="J327" i="14"/>
  <c r="J418" i="14"/>
  <c r="J374" i="14"/>
  <c r="J334" i="14"/>
  <c r="J421" i="14"/>
  <c r="J384" i="14"/>
  <c r="J412" i="14"/>
  <c r="J348" i="14"/>
  <c r="J400" i="14"/>
  <c r="J343" i="14"/>
  <c r="J393" i="14"/>
  <c r="J427" i="14"/>
  <c r="J399" i="14"/>
  <c r="J419" i="14"/>
  <c r="J411" i="14"/>
  <c r="J339" i="14"/>
  <c r="J5" i="14"/>
  <c r="J410" i="14"/>
  <c r="J358" i="14"/>
  <c r="J322" i="14"/>
  <c r="J413" i="14"/>
  <c r="J353" i="14"/>
  <c r="J377" i="14"/>
  <c r="J340" i="14"/>
  <c r="J436" i="14"/>
  <c r="J415" i="14"/>
  <c r="J388" i="14"/>
  <c r="J391" i="14"/>
  <c r="J395" i="14"/>
  <c r="J367" i="14"/>
  <c r="J316" i="14"/>
  <c r="J330" i="14"/>
  <c r="J344" i="14"/>
  <c r="J347" i="14"/>
  <c r="J355" i="14"/>
  <c r="J366" i="14"/>
  <c r="J417" i="14"/>
  <c r="J328" i="14"/>
  <c r="J439" i="14"/>
  <c r="J401" i="14"/>
  <c r="J426" i="14"/>
  <c r="J434" i="14"/>
  <c r="J414" i="14"/>
  <c r="J357" i="14"/>
  <c r="J351" i="14"/>
  <c r="J396" i="14"/>
  <c r="J373" i="14"/>
  <c r="J404" i="14"/>
  <c r="J389" i="14"/>
  <c r="J430" i="14"/>
  <c r="J386" i="14"/>
  <c r="J365" i="14"/>
  <c r="J346" i="14"/>
  <c r="J392" i="14"/>
  <c r="J341" i="14"/>
  <c r="J380" i="14"/>
  <c r="J424" i="14"/>
  <c r="J360" i="14"/>
  <c r="J321" i="14"/>
  <c r="J363" i="14"/>
  <c r="J397" i="14"/>
  <c r="J432" i="14"/>
  <c r="J429" i="14"/>
  <c r="J329" i="14"/>
  <c r="J326" i="14"/>
  <c r="J323" i="14"/>
  <c r="J317" i="14"/>
  <c r="J332" i="14"/>
  <c r="J337" i="14"/>
  <c r="J320" i="14"/>
  <c r="J63" i="14" s="1"/>
  <c r="M63" i="15"/>
  <c r="J62" i="8"/>
  <c r="J66" i="8" s="1"/>
  <c r="N82" i="14"/>
  <c r="N124" i="14"/>
  <c r="N32" i="14" s="1"/>
  <c r="N81" i="14"/>
  <c r="N84" i="14" s="1"/>
  <c r="N132" i="14"/>
  <c r="N79" i="14"/>
  <c r="N119" i="14"/>
  <c r="N139" i="14"/>
  <c r="N422" i="15"/>
  <c r="N349" i="15"/>
  <c r="N370" i="15"/>
  <c r="N437" i="15"/>
  <c r="N331" i="15"/>
  <c r="N356" i="15"/>
  <c r="N326" i="15"/>
  <c r="N393" i="15"/>
  <c r="N433" i="15"/>
  <c r="N426" i="15"/>
  <c r="N391" i="15"/>
  <c r="N320" i="15"/>
  <c r="N5" i="15"/>
  <c r="N382" i="15"/>
  <c r="N341" i="15"/>
  <c r="N388" i="15"/>
  <c r="N366" i="15"/>
  <c r="N365" i="15"/>
  <c r="N352" i="15"/>
  <c r="N342" i="15"/>
  <c r="N396" i="15"/>
  <c r="N377" i="15"/>
  <c r="N363" i="15"/>
  <c r="N390" i="15"/>
  <c r="N369" i="15"/>
  <c r="N384" i="15"/>
  <c r="N329" i="15"/>
  <c r="N385" i="15"/>
  <c r="N351" i="15"/>
  <c r="N348" i="15"/>
  <c r="N431" i="15"/>
  <c r="N358" i="15"/>
  <c r="N360" i="15"/>
  <c r="N373" i="15"/>
  <c r="N368" i="15"/>
  <c r="N425" i="15"/>
  <c r="N346" i="15"/>
  <c r="N357" i="15"/>
  <c r="N374" i="15"/>
  <c r="N372" i="15"/>
  <c r="N343" i="15"/>
  <c r="N428" i="15"/>
  <c r="N394" i="15"/>
  <c r="N359" i="15"/>
  <c r="N439" i="15"/>
  <c r="N435" i="15"/>
  <c r="N379" i="15"/>
  <c r="N389" i="15"/>
  <c r="N383" i="15"/>
  <c r="N345" i="15"/>
  <c r="N376" i="15"/>
  <c r="N340" i="15"/>
  <c r="N371" i="15"/>
  <c r="N430" i="15"/>
  <c r="N423" i="15"/>
  <c r="N337" i="15"/>
  <c r="N355" i="15"/>
  <c r="N332" i="15"/>
  <c r="N375" i="15"/>
  <c r="N398" i="15"/>
  <c r="N322" i="15"/>
  <c r="N325" i="15"/>
  <c r="N347" i="15"/>
  <c r="N424" i="15"/>
  <c r="N400" i="15"/>
  <c r="N316" i="15"/>
  <c r="N354" i="15"/>
  <c r="N429" i="15"/>
  <c r="N335" i="15"/>
  <c r="N427" i="15"/>
  <c r="N434" i="15"/>
  <c r="N432" i="15"/>
  <c r="N395" i="15"/>
  <c r="N386" i="15"/>
  <c r="N317" i="15"/>
  <c r="N323" i="15"/>
  <c r="N334" i="15"/>
  <c r="N367" i="15"/>
  <c r="N438" i="15"/>
  <c r="N421" i="15"/>
  <c r="N397" i="15"/>
  <c r="N362" i="15"/>
  <c r="N350" i="15"/>
  <c r="N319" i="15"/>
  <c r="N380" i="15"/>
  <c r="N381" i="15"/>
  <c r="N378" i="15"/>
  <c r="N328" i="15"/>
  <c r="N399" i="15"/>
  <c r="N392" i="15"/>
  <c r="N364" i="15"/>
  <c r="N353" i="15"/>
  <c r="N361" i="15"/>
  <c r="N344" i="15"/>
  <c r="N440" i="15"/>
  <c r="N387" i="15"/>
  <c r="N436" i="15"/>
  <c r="N339" i="15"/>
  <c r="N410" i="15"/>
  <c r="N330" i="15"/>
  <c r="N419" i="15"/>
  <c r="N321" i="15"/>
  <c r="N402" i="15"/>
  <c r="N405" i="15"/>
  <c r="N406" i="15"/>
  <c r="N417" i="15"/>
  <c r="N413" i="15"/>
  <c r="N336" i="15"/>
  <c r="N324" i="15"/>
  <c r="N64" i="15" s="1"/>
  <c r="N338" i="15"/>
  <c r="N416" i="15"/>
  <c r="N414" i="15"/>
  <c r="N318" i="15"/>
  <c r="N409" i="15"/>
  <c r="N327" i="15"/>
  <c r="N333" i="15"/>
  <c r="N415" i="15"/>
  <c r="N401" i="15"/>
  <c r="P184" i="14"/>
  <c r="I74" i="8"/>
  <c r="I73" i="8"/>
  <c r="P183" i="14"/>
  <c r="N204" i="30"/>
  <c r="BZ169" i="12" s="1"/>
  <c r="K111" i="14"/>
  <c r="K88" i="14"/>
  <c r="K90" i="14"/>
  <c r="K89" i="14"/>
  <c r="O7" i="14"/>
  <c r="P6" i="14"/>
  <c r="I56" i="14"/>
  <c r="I60" i="14" s="1"/>
  <c r="P7" i="15"/>
  <c r="Q6" i="15"/>
  <c r="Q7" i="15" s="1"/>
  <c r="P71" i="15"/>
  <c r="O200" i="8"/>
  <c r="P255" i="8"/>
  <c r="M58" i="15"/>
  <c r="M441" i="15"/>
  <c r="H151" i="14"/>
  <c r="H152" i="14" s="1"/>
  <c r="M245" i="14"/>
  <c r="L178" i="14"/>
  <c r="L180" i="14" s="1"/>
  <c r="M62" i="15"/>
  <c r="M213" i="15"/>
  <c r="L178" i="15"/>
  <c r="L180" i="15" s="1"/>
  <c r="L88" i="15" s="1"/>
  <c r="O88" i="15" s="1"/>
  <c r="L341" i="15"/>
  <c r="L56" i="15" s="1"/>
  <c r="L60" i="15" s="1"/>
  <c r="I62" i="14"/>
  <c r="I66" i="14" s="1"/>
  <c r="L156" i="8"/>
  <c r="L91" i="8"/>
  <c r="L108" i="8" s="1"/>
  <c r="L136" i="8"/>
  <c r="L141" i="8"/>
  <c r="L32" i="8" s="1"/>
  <c r="L92" i="8"/>
  <c r="L79" i="8"/>
  <c r="L149" i="8"/>
  <c r="L123" i="8"/>
  <c r="L40" i="8" s="1"/>
  <c r="L81" i="8"/>
  <c r="L89" i="8" s="1"/>
  <c r="L82" i="8"/>
  <c r="L69" i="15"/>
  <c r="L74" i="15"/>
  <c r="N8" i="8"/>
  <c r="M9" i="8"/>
  <c r="Q183" i="14"/>
  <c r="D24" i="21"/>
  <c r="D33" i="21" s="1"/>
  <c r="AF105" i="33"/>
  <c r="Q162" i="8"/>
  <c r="AF34" i="33"/>
  <c r="AF33" i="33"/>
  <c r="AF60" i="33"/>
  <c r="AF35" i="33"/>
  <c r="AF61" i="33"/>
  <c r="AF59" i="33"/>
  <c r="I216" i="26"/>
  <c r="AG171" i="12"/>
  <c r="BH7" i="12"/>
  <c r="BU128" i="12"/>
  <c r="BH8" i="12"/>
  <c r="AD12" i="12"/>
  <c r="BU94" i="12"/>
  <c r="J18" i="30"/>
  <c r="J33" i="30" s="1"/>
  <c r="BV15" i="12" s="1"/>
  <c r="E18" i="27"/>
  <c r="E148" i="27"/>
  <c r="AD128" i="12" s="1"/>
  <c r="AD8" i="12"/>
  <c r="AD9" i="12"/>
  <c r="J5" i="26"/>
  <c r="J210" i="26" s="1"/>
  <c r="J46" i="26" s="1"/>
  <c r="BG9" i="12"/>
  <c r="I205" i="28"/>
  <c r="I40" i="4" s="1"/>
  <c r="I212" i="26"/>
  <c r="I217" i="26"/>
  <c r="I213" i="26"/>
  <c r="I34" i="30"/>
  <c r="E114" i="27"/>
  <c r="AD94" i="12" s="1"/>
  <c r="BU98" i="12"/>
  <c r="AR128" i="12"/>
  <c r="BH9" i="12"/>
  <c r="I18" i="29"/>
  <c r="I33" i="29" s="1"/>
  <c r="BH15" i="12" s="1"/>
  <c r="M205" i="30"/>
  <c r="M62" i="4" s="1"/>
  <c r="BX171" i="12"/>
  <c r="BF118" i="12"/>
  <c r="L99" i="32"/>
  <c r="H18" i="29"/>
  <c r="BG7" i="12"/>
  <c r="AR8" i="12"/>
  <c r="L7" i="28"/>
  <c r="E138" i="27"/>
  <c r="AD118" i="12" s="1"/>
  <c r="E145" i="27"/>
  <c r="AD125" i="12" s="1"/>
  <c r="E118" i="27"/>
  <c r="AD98" i="12" s="1"/>
  <c r="K101" i="32"/>
  <c r="AJ82" i="33" s="1"/>
  <c r="G96" i="32"/>
  <c r="AF77" i="33" s="1"/>
  <c r="AQ5" i="12"/>
  <c r="K185" i="30"/>
  <c r="K95" i="30" s="1"/>
  <c r="BW76" i="12" s="1"/>
  <c r="H185" i="28"/>
  <c r="H78" i="32"/>
  <c r="H79" i="32"/>
  <c r="H121" i="32"/>
  <c r="AG101" i="33" s="1"/>
  <c r="H123" i="32"/>
  <c r="AG103" i="33" s="1"/>
  <c r="H134" i="32"/>
  <c r="AG114" i="33" s="1"/>
  <c r="H124" i="32"/>
  <c r="AG104" i="33" s="1"/>
  <c r="H141" i="32"/>
  <c r="AG121" i="33" s="1"/>
  <c r="H115" i="32"/>
  <c r="AG95" i="33" s="1"/>
  <c r="H120" i="32"/>
  <c r="AG100" i="33" s="1"/>
  <c r="H122" i="32"/>
  <c r="AG102" i="33" s="1"/>
  <c r="H109" i="32"/>
  <c r="AG89" i="33" s="1"/>
  <c r="BE6" i="12"/>
  <c r="BV104" i="12"/>
  <c r="BV121" i="12"/>
  <c r="BV124" i="12"/>
  <c r="BQ33" i="12"/>
  <c r="BV92" i="12"/>
  <c r="F34" i="29"/>
  <c r="BD35" i="12"/>
  <c r="BD34" i="12"/>
  <c r="BD33" i="12"/>
  <c r="BG117" i="12"/>
  <c r="BU125" i="12"/>
  <c r="BU122" i="12"/>
  <c r="G118" i="32"/>
  <c r="AF98" i="33" s="1"/>
  <c r="L6" i="32"/>
  <c r="K61" i="32"/>
  <c r="AJ42" i="33" s="1"/>
  <c r="J185" i="29"/>
  <c r="J95" i="29" s="1"/>
  <c r="F185" i="27"/>
  <c r="F95" i="27" s="1"/>
  <c r="I214" i="26"/>
  <c r="F34" i="30"/>
  <c r="H34" i="30"/>
  <c r="E34" i="30"/>
  <c r="G34" i="29"/>
  <c r="BH5" i="12"/>
  <c r="G34" i="30"/>
  <c r="BV91" i="12"/>
  <c r="BV116" i="12"/>
  <c r="BV117" i="12"/>
  <c r="BV127" i="12"/>
  <c r="BV123" i="12"/>
  <c r="H80" i="32"/>
  <c r="BF127" i="12"/>
  <c r="G126" i="32"/>
  <c r="E26" i="26"/>
  <c r="Q8" i="12" s="1"/>
  <c r="Q7" i="12"/>
  <c r="I215" i="26"/>
  <c r="I209" i="26"/>
  <c r="I210" i="26"/>
  <c r="I46" i="26" s="1"/>
  <c r="Q126" i="12"/>
  <c r="Q101" i="12"/>
  <c r="D101" i="12" s="1"/>
  <c r="Q127" i="12"/>
  <c r="Q104" i="12"/>
  <c r="D104" i="12" s="1"/>
  <c r="Q69" i="12"/>
  <c r="Q67" i="12"/>
  <c r="Q76" i="12"/>
  <c r="Q116" i="12"/>
  <c r="Q90" i="12"/>
  <c r="Q115" i="12"/>
  <c r="Q117" i="12"/>
  <c r="Q92" i="12"/>
  <c r="Q96" i="12"/>
  <c r="D96" i="12" s="1"/>
  <c r="Q68" i="12"/>
  <c r="Q71" i="12"/>
  <c r="Q70" i="12"/>
  <c r="Q95" i="12"/>
  <c r="D95" i="12" s="1"/>
  <c r="Q124" i="12"/>
  <c r="Q97" i="12"/>
  <c r="D97" i="12" s="1"/>
  <c r="Q93" i="12"/>
  <c r="D93" i="12" s="1"/>
  <c r="Q123" i="12"/>
  <c r="Q122" i="12"/>
  <c r="Q91" i="12"/>
  <c r="Q146" i="12"/>
  <c r="Q147" i="12"/>
  <c r="D147" i="12" s="1"/>
  <c r="G25" i="21"/>
  <c r="H140" i="32"/>
  <c r="AG120" i="33" s="1"/>
  <c r="H139" i="32"/>
  <c r="AG119" i="33" s="1"/>
  <c r="H218" i="30"/>
  <c r="F185" i="26"/>
  <c r="AD17" i="33"/>
  <c r="D17" i="33" s="1"/>
  <c r="E135" i="32"/>
  <c r="AD115" i="33" s="1"/>
  <c r="E132" i="32"/>
  <c r="AD112" i="33" s="1"/>
  <c r="E130" i="32"/>
  <c r="AD110" i="33" s="1"/>
  <c r="E131" i="32"/>
  <c r="AD111" i="33" s="1"/>
  <c r="E129" i="32"/>
  <c r="AD109" i="33" s="1"/>
  <c r="H53" i="32"/>
  <c r="H54" i="32"/>
  <c r="H52" i="32"/>
  <c r="F64" i="32"/>
  <c r="AE45" i="33" s="1"/>
  <c r="AI169" i="33"/>
  <c r="AI171" i="33" s="1"/>
  <c r="BU6" i="12"/>
  <c r="BU65" i="12"/>
  <c r="AR98" i="12"/>
  <c r="AS94" i="12"/>
  <c r="F18" i="28"/>
  <c r="AR7" i="12"/>
  <c r="Q9" i="12"/>
  <c r="E18" i="26"/>
  <c r="E184" i="27"/>
  <c r="E184" i="28"/>
  <c r="E184" i="26"/>
  <c r="Q102" i="12" s="1"/>
  <c r="E184" i="32"/>
  <c r="Q251" i="8"/>
  <c r="E148" i="26"/>
  <c r="F184" i="27"/>
  <c r="L91" i="15"/>
  <c r="N86" i="15"/>
  <c r="I43" i="15"/>
  <c r="I53" i="15" s="1"/>
  <c r="I146" i="15" s="1"/>
  <c r="I110" i="15"/>
  <c r="E114" i="26"/>
  <c r="Q94" i="12" s="1"/>
  <c r="F184" i="26"/>
  <c r="F184" i="28"/>
  <c r="G152" i="14"/>
  <c r="M80" i="15"/>
  <c r="Q76" i="15"/>
  <c r="Q80" i="15" s="1"/>
  <c r="E118" i="26"/>
  <c r="E146" i="32"/>
  <c r="AD126" i="33" s="1"/>
  <c r="E147" i="32"/>
  <c r="AD127" i="33" s="1"/>
  <c r="E137" i="32"/>
  <c r="AD117" i="33" s="1"/>
  <c r="E165" i="32"/>
  <c r="E20" i="32"/>
  <c r="E144" i="32"/>
  <c r="AD124" i="33" s="1"/>
  <c r="E138" i="26"/>
  <c r="E145" i="26"/>
  <c r="F184" i="29"/>
  <c r="F184" i="30"/>
  <c r="F78" i="30" s="1"/>
  <c r="E19" i="32"/>
  <c r="E166" i="32"/>
  <c r="AD146" i="33" s="1"/>
  <c r="E86" i="32"/>
  <c r="E17" i="32"/>
  <c r="E27" i="32" s="1"/>
  <c r="E136" i="32"/>
  <c r="AD116" i="33" s="1"/>
  <c r="E142" i="32"/>
  <c r="AD122" i="33" s="1"/>
  <c r="E143" i="32"/>
  <c r="AD123" i="33" s="1"/>
  <c r="AS118" i="12"/>
  <c r="R92" i="12"/>
  <c r="R116" i="12"/>
  <c r="R122" i="12"/>
  <c r="R124" i="12"/>
  <c r="R91" i="12"/>
  <c r="R115" i="12"/>
  <c r="R147" i="12"/>
  <c r="R69" i="12"/>
  <c r="R101" i="12"/>
  <c r="R117" i="12"/>
  <c r="BW68" i="12"/>
  <c r="BW70" i="12"/>
  <c r="BW69" i="12"/>
  <c r="BW97" i="12"/>
  <c r="BW99" i="12"/>
  <c r="BW101" i="12"/>
  <c r="BW96" i="12"/>
  <c r="BW147" i="12"/>
  <c r="BW145" i="12"/>
  <c r="AT69" i="12"/>
  <c r="AT90" i="12"/>
  <c r="AT92" i="12"/>
  <c r="AT115" i="12"/>
  <c r="AT126" i="12"/>
  <c r="AT117" i="12"/>
  <c r="AT145" i="12"/>
  <c r="AT99" i="12"/>
  <c r="AT122" i="12"/>
  <c r="AT147" i="12"/>
  <c r="AS128" i="12"/>
  <c r="BI96" i="12"/>
  <c r="AE67" i="12"/>
  <c r="AE69" i="12"/>
  <c r="AE70" i="12"/>
  <c r="AE90" i="12"/>
  <c r="AE99" i="12"/>
  <c r="AE116" i="12"/>
  <c r="AE124" i="12"/>
  <c r="AE145" i="12"/>
  <c r="AE147" i="12"/>
  <c r="AE68" i="12"/>
  <c r="AE115" i="12"/>
  <c r="G218" i="29"/>
  <c r="L7" i="27"/>
  <c r="M6" i="27"/>
  <c r="M6" i="30"/>
  <c r="K11" i="30"/>
  <c r="L7" i="30"/>
  <c r="F19" i="27"/>
  <c r="I11" i="26"/>
  <c r="AV169" i="12"/>
  <c r="I28" i="21" s="1"/>
  <c r="L205" i="29"/>
  <c r="L51" i="4" s="1"/>
  <c r="I9" i="28"/>
  <c r="I11" i="29"/>
  <c r="I113" i="29" s="1"/>
  <c r="BH93" i="12" s="1"/>
  <c r="M6" i="28"/>
  <c r="E24" i="30"/>
  <c r="BQ6" i="12" s="1"/>
  <c r="E24" i="28"/>
  <c r="AQ6" i="12" s="1"/>
  <c r="E34" i="28"/>
  <c r="P162" i="8"/>
  <c r="I92" i="14"/>
  <c r="I94" i="14" s="1"/>
  <c r="E34" i="29"/>
  <c r="H170" i="33"/>
  <c r="F20" i="27"/>
  <c r="H210" i="28"/>
  <c r="H46" i="28" s="1"/>
  <c r="H216" i="28"/>
  <c r="H211" i="28"/>
  <c r="H48" i="28" s="1"/>
  <c r="H50" i="28" s="1"/>
  <c r="H213" i="28"/>
  <c r="H217" i="28"/>
  <c r="H209" i="28"/>
  <c r="H42" i="28" s="1"/>
  <c r="H44" i="28" s="1"/>
  <c r="H215" i="28"/>
  <c r="H212" i="28"/>
  <c r="H214" i="28"/>
  <c r="I209" i="30"/>
  <c r="I42" i="30" s="1"/>
  <c r="I44" i="30" s="1"/>
  <c r="I211" i="30"/>
  <c r="I48" i="30" s="1"/>
  <c r="I50" i="30" s="1"/>
  <c r="I215" i="30"/>
  <c r="I217" i="30"/>
  <c r="I213" i="30"/>
  <c r="I212" i="30"/>
  <c r="I210" i="30"/>
  <c r="I46" i="30" s="1"/>
  <c r="I47" i="30" s="1"/>
  <c r="I216" i="30"/>
  <c r="I214" i="30"/>
  <c r="J5" i="30"/>
  <c r="H213" i="32"/>
  <c r="H214" i="32"/>
  <c r="H216" i="32"/>
  <c r="H215" i="32"/>
  <c r="H209" i="32"/>
  <c r="H211" i="32"/>
  <c r="H210" i="32"/>
  <c r="H212" i="32"/>
  <c r="H217" i="32"/>
  <c r="I5" i="32"/>
  <c r="L189" i="32"/>
  <c r="L98" i="32" s="1"/>
  <c r="AK79" i="33" s="1"/>
  <c r="N196" i="29"/>
  <c r="P202" i="30"/>
  <c r="CB170" i="12" s="1"/>
  <c r="H209" i="29"/>
  <c r="H42" i="29" s="1"/>
  <c r="H44" i="29" s="1"/>
  <c r="H211" i="29"/>
  <c r="H48" i="29" s="1"/>
  <c r="H50" i="29" s="1"/>
  <c r="H215" i="29"/>
  <c r="H213" i="29"/>
  <c r="H212" i="29"/>
  <c r="H214" i="29"/>
  <c r="H217" i="29"/>
  <c r="H210" i="29"/>
  <c r="H46" i="29" s="1"/>
  <c r="H47" i="29" s="1"/>
  <c r="H216" i="29"/>
  <c r="I5" i="29"/>
  <c r="F17" i="27"/>
  <c r="K203" i="32"/>
  <c r="J205" i="26"/>
  <c r="J18" i="4" s="1"/>
  <c r="H211" i="27"/>
  <c r="H210" i="27"/>
  <c r="H46" i="27" s="1"/>
  <c r="H214" i="27"/>
  <c r="H217" i="27"/>
  <c r="H213" i="27"/>
  <c r="H216" i="27"/>
  <c r="H209" i="27"/>
  <c r="H43" i="27" s="1"/>
  <c r="H215" i="27"/>
  <c r="H212" i="27"/>
  <c r="M193" i="26"/>
  <c r="P195" i="32"/>
  <c r="M189" i="26"/>
  <c r="L203" i="26"/>
  <c r="P193" i="32"/>
  <c r="M194" i="32"/>
  <c r="M190" i="32"/>
  <c r="L195" i="26"/>
  <c r="F24" i="21"/>
  <c r="F33" i="21" s="1"/>
  <c r="P190" i="29"/>
  <c r="BL168" i="12"/>
  <c r="N199" i="29"/>
  <c r="N200" i="29" s="1"/>
  <c r="O188" i="29"/>
  <c r="O50" i="4" s="1"/>
  <c r="K71" i="15"/>
  <c r="K143" i="15"/>
  <c r="K185" i="15"/>
  <c r="F180" i="32"/>
  <c r="J205" i="32"/>
  <c r="J161" i="32" s="1"/>
  <c r="J29" i="21"/>
  <c r="BJ171" i="12"/>
  <c r="L10" i="29"/>
  <c r="BK171" i="12"/>
  <c r="K29" i="21"/>
  <c r="P192" i="29"/>
  <c r="L6" i="29"/>
  <c r="K7" i="29"/>
  <c r="N203" i="29"/>
  <c r="N197" i="29"/>
  <c r="L8" i="29"/>
  <c r="K9" i="29"/>
  <c r="N202" i="29"/>
  <c r="O191" i="29"/>
  <c r="BL170" i="12"/>
  <c r="O195" i="29"/>
  <c r="P194" i="29"/>
  <c r="I29" i="21"/>
  <c r="I38" i="21" s="1"/>
  <c r="BI171" i="12"/>
  <c r="M204" i="29"/>
  <c r="O193" i="29"/>
  <c r="O199" i="30"/>
  <c r="O200" i="30" s="1"/>
  <c r="O197" i="30"/>
  <c r="K9" i="30"/>
  <c r="K79" i="30" s="1"/>
  <c r="L8" i="30"/>
  <c r="BY171" i="12"/>
  <c r="O10" i="30"/>
  <c r="M4" i="30"/>
  <c r="BZ168" i="12"/>
  <c r="I5" i="28"/>
  <c r="AY168" i="12"/>
  <c r="M193" i="28"/>
  <c r="M195" i="28"/>
  <c r="M194" i="28"/>
  <c r="N190" i="28"/>
  <c r="N4" i="28"/>
  <c r="N199" i="28"/>
  <c r="N200" i="28" s="1"/>
  <c r="AT171" i="12"/>
  <c r="G28" i="21"/>
  <c r="G37" i="21" s="1"/>
  <c r="K204" i="28"/>
  <c r="L203" i="28"/>
  <c r="L197" i="28"/>
  <c r="AW170" i="12"/>
  <c r="L202" i="28"/>
  <c r="M191" i="28"/>
  <c r="M192" i="28"/>
  <c r="M196" i="28"/>
  <c r="M8" i="28"/>
  <c r="K10" i="28"/>
  <c r="J11" i="28"/>
  <c r="G218" i="28"/>
  <c r="L199" i="27"/>
  <c r="L200" i="27" s="1"/>
  <c r="M188" i="27"/>
  <c r="M28" i="4" s="1"/>
  <c r="L193" i="27"/>
  <c r="AH169" i="12"/>
  <c r="J11" i="27"/>
  <c r="O189" i="27"/>
  <c r="N203" i="27"/>
  <c r="J9" i="27"/>
  <c r="K8" i="27"/>
  <c r="M4" i="27"/>
  <c r="G218" i="27"/>
  <c r="L192" i="27"/>
  <c r="L194" i="27"/>
  <c r="L196" i="27"/>
  <c r="N190" i="27"/>
  <c r="J204" i="27"/>
  <c r="J205" i="27" s="1"/>
  <c r="J29" i="4" s="1"/>
  <c r="K197" i="27"/>
  <c r="AJ168" i="12"/>
  <c r="I5" i="27"/>
  <c r="I205" i="27"/>
  <c r="I29" i="4" s="1"/>
  <c r="L195" i="27"/>
  <c r="L10" i="27"/>
  <c r="K202" i="27"/>
  <c r="AJ170" i="12" s="1"/>
  <c r="L191" i="27"/>
  <c r="E169" i="33"/>
  <c r="E171" i="33" s="1"/>
  <c r="U171" i="12"/>
  <c r="I11" i="32"/>
  <c r="F169" i="33"/>
  <c r="F171" i="33" s="1"/>
  <c r="S171" i="33"/>
  <c r="K9" i="26"/>
  <c r="L8" i="26"/>
  <c r="L194" i="26"/>
  <c r="M192" i="26"/>
  <c r="D169" i="33"/>
  <c r="D171" i="33" s="1"/>
  <c r="Q171" i="33"/>
  <c r="W168" i="12"/>
  <c r="E24" i="21"/>
  <c r="E33" i="21" s="1"/>
  <c r="K10" i="26"/>
  <c r="L202" i="26"/>
  <c r="X170" i="12" s="1"/>
  <c r="M191" i="26"/>
  <c r="L4" i="26"/>
  <c r="M6" i="26"/>
  <c r="L7" i="26"/>
  <c r="H168" i="33"/>
  <c r="H26" i="21"/>
  <c r="K197" i="26"/>
  <c r="K204" i="26" s="1"/>
  <c r="L196" i="26"/>
  <c r="M190" i="26"/>
  <c r="I9" i="32"/>
  <c r="H25" i="21"/>
  <c r="AH169" i="33"/>
  <c r="M191" i="32"/>
  <c r="O192" i="32"/>
  <c r="M188" i="32"/>
  <c r="O8" i="32"/>
  <c r="L196" i="32"/>
  <c r="K7" i="32"/>
  <c r="L4" i="32"/>
  <c r="J92" i="15"/>
  <c r="J94" i="15" s="1"/>
  <c r="J151" i="15" s="1"/>
  <c r="G162" i="8"/>
  <c r="I151" i="15"/>
  <c r="K162" i="8"/>
  <c r="H151" i="15"/>
  <c r="H152" i="15" s="1"/>
  <c r="F33" i="8"/>
  <c r="F53" i="8" s="1"/>
  <c r="F163" i="8" s="1"/>
  <c r="F127" i="8"/>
  <c r="H71" i="15"/>
  <c r="H143" i="15"/>
  <c r="G71" i="15"/>
  <c r="G143" i="15"/>
  <c r="Q143" i="15"/>
  <c r="Q71" i="15"/>
  <c r="Q185" i="15"/>
  <c r="P53" i="8"/>
  <c r="P163" i="8" s="1"/>
  <c r="K53" i="8"/>
  <c r="K163" i="8" s="1"/>
  <c r="O53" i="8"/>
  <c r="O163" i="8" s="1"/>
  <c r="Q250" i="8"/>
  <c r="P71" i="14"/>
  <c r="H6" i="4"/>
  <c r="O162" i="8"/>
  <c r="N71" i="15"/>
  <c r="N185" i="15"/>
  <c r="N143" i="15"/>
  <c r="O240" i="8"/>
  <c r="L53" i="8"/>
  <c r="L163" i="8" s="1"/>
  <c r="O241" i="8"/>
  <c r="N53" i="8"/>
  <c r="N163" i="8" s="1"/>
  <c r="L162" i="8"/>
  <c r="J53" i="8"/>
  <c r="J163" i="8" s="1"/>
  <c r="G7" i="4"/>
  <c r="G8" i="4" s="1"/>
  <c r="G184" i="34" s="1"/>
  <c r="N235" i="8"/>
  <c r="AS12" i="12"/>
  <c r="AS7" i="12"/>
  <c r="AS9" i="12"/>
  <c r="G18" i="28"/>
  <c r="J67" i="15"/>
  <c r="N236" i="8"/>
  <c r="L231" i="8"/>
  <c r="K359" i="8"/>
  <c r="O87" i="15"/>
  <c r="O86" i="15"/>
  <c r="M91" i="15"/>
  <c r="J146" i="14"/>
  <c r="I146" i="14"/>
  <c r="F92" i="15"/>
  <c r="F94" i="15" s="1"/>
  <c r="F151" i="15" s="1"/>
  <c r="F152" i="15" s="1"/>
  <c r="G92" i="15"/>
  <c r="G94" i="15" s="1"/>
  <c r="G151" i="15" s="1"/>
  <c r="G152" i="15" s="1"/>
  <c r="H17" i="28"/>
  <c r="H19" i="28"/>
  <c r="H20" i="28"/>
  <c r="N71" i="8"/>
  <c r="N203" i="8"/>
  <c r="O202" i="8"/>
  <c r="O201" i="8"/>
  <c r="G53" i="8"/>
  <c r="J202" i="8"/>
  <c r="J94" i="8"/>
  <c r="J95" i="8"/>
  <c r="J96" i="8"/>
  <c r="J97" i="8"/>
  <c r="J98" i="8"/>
  <c r="J99" i="8"/>
  <c r="J100" i="8"/>
  <c r="J128" i="8"/>
  <c r="J93" i="8"/>
  <c r="J107" i="8"/>
  <c r="J103" i="8"/>
  <c r="J101" i="8"/>
  <c r="J102" i="8"/>
  <c r="K195" i="8"/>
  <c r="K197" i="8" s="1"/>
  <c r="K358" i="8"/>
  <c r="K56" i="8" s="1"/>
  <c r="K60" i="8" s="1"/>
  <c r="L230" i="8"/>
  <c r="I71" i="8"/>
  <c r="I203" i="8"/>
  <c r="I160" i="8"/>
  <c r="I71" i="15"/>
  <c r="I143" i="15"/>
  <c r="K80" i="8"/>
  <c r="L80" i="8"/>
  <c r="H53" i="8"/>
  <c r="H71" i="8"/>
  <c r="H160" i="8"/>
  <c r="J94" i="14"/>
  <c r="N91" i="14"/>
  <c r="J20" i="29"/>
  <c r="J17" i="29"/>
  <c r="J19" i="29"/>
  <c r="K19" i="30"/>
  <c r="K20" i="30"/>
  <c r="G88" i="8"/>
  <c r="G86" i="8"/>
  <c r="G85" i="8"/>
  <c r="G84" i="8"/>
  <c r="G83" i="8"/>
  <c r="G109" i="8"/>
  <c r="G111" i="8" s="1"/>
  <c r="G168" i="8" s="1"/>
  <c r="K94" i="15"/>
  <c r="K151" i="15" s="1"/>
  <c r="K17" i="30"/>
  <c r="K23" i="30" s="1"/>
  <c r="K83" i="30" s="1"/>
  <c r="K35" i="32" s="1"/>
  <c r="I109" i="8"/>
  <c r="I111" i="8" s="1"/>
  <c r="I168" i="8" s="1"/>
  <c r="I169" i="8" s="1"/>
  <c r="I83" i="8"/>
  <c r="I85" i="8"/>
  <c r="I88" i="8"/>
  <c r="I86" i="8"/>
  <c r="I84" i="8"/>
  <c r="F68" i="14"/>
  <c r="F75" i="14" s="1"/>
  <c r="F151" i="14" s="1"/>
  <c r="F152" i="14" s="1"/>
  <c r="F73" i="14"/>
  <c r="F72" i="14"/>
  <c r="F70" i="14"/>
  <c r="F67" i="14"/>
  <c r="L182" i="30"/>
  <c r="P195" i="8"/>
  <c r="P197" i="8" s="1"/>
  <c r="Q230" i="8"/>
  <c r="J68" i="8"/>
  <c r="J75" i="8" s="1"/>
  <c r="J73" i="8"/>
  <c r="J70" i="8"/>
  <c r="J72" i="8"/>
  <c r="J460" i="8"/>
  <c r="J143" i="15"/>
  <c r="J185" i="15"/>
  <c r="J71" i="15"/>
  <c r="F143" i="15"/>
  <c r="F71" i="15"/>
  <c r="J67" i="8"/>
  <c r="Q231" i="8"/>
  <c r="P245" i="8"/>
  <c r="H162" i="8"/>
  <c r="H83" i="8"/>
  <c r="H88" i="8"/>
  <c r="H85" i="8"/>
  <c r="H109" i="8"/>
  <c r="H111" i="8" s="1"/>
  <c r="H168" i="8" s="1"/>
  <c r="H86" i="8"/>
  <c r="H84" i="8"/>
  <c r="J71" i="14"/>
  <c r="J143" i="14"/>
  <c r="K284" i="15"/>
  <c r="K412" i="15" s="1"/>
  <c r="K280" i="15"/>
  <c r="K408" i="15" s="1"/>
  <c r="K276" i="15"/>
  <c r="K404" i="15" s="1"/>
  <c r="P246" i="8"/>
  <c r="G71" i="8"/>
  <c r="G160" i="8"/>
  <c r="F160" i="8"/>
  <c r="F71" i="8"/>
  <c r="J201" i="8"/>
  <c r="O86" i="14"/>
  <c r="M91" i="14"/>
  <c r="O87" i="14"/>
  <c r="F146" i="15"/>
  <c r="M13" i="30"/>
  <c r="N13" i="30" s="1"/>
  <c r="O13" i="30" s="1"/>
  <c r="P13" i="30" s="1"/>
  <c r="F181" i="32"/>
  <c r="R165" i="33"/>
  <c r="F35" i="21"/>
  <c r="I22" i="4"/>
  <c r="AH166" i="12"/>
  <c r="H18" i="21" s="1"/>
  <c r="H180" i="27"/>
  <c r="AG164" i="12"/>
  <c r="G17" i="21"/>
  <c r="G16" i="21"/>
  <c r="T164" i="12"/>
  <c r="H180" i="26"/>
  <c r="F17" i="26"/>
  <c r="F23" i="26" s="1"/>
  <c r="F83" i="26" s="1"/>
  <c r="F20" i="26"/>
  <c r="F19" i="26"/>
  <c r="AF165" i="12"/>
  <c r="G181" i="27"/>
  <c r="G182" i="27" s="1"/>
  <c r="S165" i="12"/>
  <c r="G181" i="26"/>
  <c r="G182" i="26" s="1"/>
  <c r="I33" i="4"/>
  <c r="AU166" i="12"/>
  <c r="H19" i="21" s="1"/>
  <c r="G36" i="21"/>
  <c r="H23" i="4"/>
  <c r="H185" i="32"/>
  <c r="H95" i="32" s="1"/>
  <c r="AG76" i="33" s="1"/>
  <c r="H12" i="4"/>
  <c r="I11" i="4"/>
  <c r="U166" i="12"/>
  <c r="H218" i="26"/>
  <c r="L197" i="32" l="1"/>
  <c r="AS8" i="12"/>
  <c r="H138" i="28"/>
  <c r="H29" i="29"/>
  <c r="J126" i="30"/>
  <c r="K110" i="30"/>
  <c r="K113" i="30"/>
  <c r="BW93" i="12" s="1"/>
  <c r="H26" i="28"/>
  <c r="H29" i="28" s="1"/>
  <c r="H23" i="28"/>
  <c r="G136" i="27"/>
  <c r="G137" i="27"/>
  <c r="G42" i="27"/>
  <c r="G44" i="27" s="1"/>
  <c r="G48" i="27"/>
  <c r="G50" i="27" s="1"/>
  <c r="G45" i="27"/>
  <c r="G47" i="27" s="1"/>
  <c r="G113" i="27"/>
  <c r="K11" i="27"/>
  <c r="E84" i="27"/>
  <c r="AD65" i="12" s="1"/>
  <c r="D65" i="12" s="1"/>
  <c r="Q65" i="33" s="1"/>
  <c r="E83" i="27"/>
  <c r="F26" i="27"/>
  <c r="F29" i="27" s="1"/>
  <c r="F23" i="27"/>
  <c r="F83" i="27" s="1"/>
  <c r="F108" i="26"/>
  <c r="J11" i="26"/>
  <c r="L199" i="26"/>
  <c r="L200" i="26" s="1"/>
  <c r="M188" i="26"/>
  <c r="M17" i="4" s="1"/>
  <c r="G45" i="26"/>
  <c r="G47" i="26" s="1"/>
  <c r="G42" i="26"/>
  <c r="G44" i="26" s="1"/>
  <c r="G48" i="26"/>
  <c r="G50" i="26" s="1"/>
  <c r="G113" i="26"/>
  <c r="S93" i="12" s="1"/>
  <c r="E50" i="32"/>
  <c r="I125" i="32"/>
  <c r="AD67" i="33"/>
  <c r="E92" i="32"/>
  <c r="AD73" i="33" s="1"/>
  <c r="G67" i="32"/>
  <c r="AF48" i="33" s="1"/>
  <c r="M30" i="21"/>
  <c r="H46" i="32"/>
  <c r="AG27" i="33" s="1"/>
  <c r="H49" i="32"/>
  <c r="AG30" i="33" s="1"/>
  <c r="I96" i="30"/>
  <c r="J26" i="29"/>
  <c r="J23" i="29"/>
  <c r="J83" i="29" s="1"/>
  <c r="K84" i="30"/>
  <c r="J114" i="30"/>
  <c r="BV94" i="12" s="1"/>
  <c r="J138" i="30"/>
  <c r="BV118" i="12" s="1"/>
  <c r="L45" i="30"/>
  <c r="H47" i="28"/>
  <c r="E44" i="32"/>
  <c r="E60" i="32"/>
  <c r="AD23" i="33"/>
  <c r="AD26" i="33"/>
  <c r="E47" i="32"/>
  <c r="AD29" i="33"/>
  <c r="I24" i="34"/>
  <c r="CH6" i="12" s="1"/>
  <c r="I83" i="34"/>
  <c r="F84" i="28"/>
  <c r="F24" i="28"/>
  <c r="AR6" i="12" s="1"/>
  <c r="H84" i="29"/>
  <c r="BG65" i="12" s="1"/>
  <c r="H24" i="29"/>
  <c r="BG6" i="12" s="1"/>
  <c r="I84" i="29"/>
  <c r="I24" i="29"/>
  <c r="BH6" i="12" s="1"/>
  <c r="G84" i="28"/>
  <c r="AS65" i="12" s="1"/>
  <c r="G24" i="28"/>
  <c r="AS6" i="12" s="1"/>
  <c r="BV65" i="12"/>
  <c r="J24" i="30"/>
  <c r="BV6" i="12" s="1"/>
  <c r="H126" i="29"/>
  <c r="I137" i="29"/>
  <c r="BH117" i="12" s="1"/>
  <c r="I136" i="29"/>
  <c r="H114" i="29"/>
  <c r="J213" i="26"/>
  <c r="F114" i="26"/>
  <c r="G136" i="26"/>
  <c r="G137" i="26"/>
  <c r="H92" i="29"/>
  <c r="AG63" i="33"/>
  <c r="Q5" i="12"/>
  <c r="E24" i="26"/>
  <c r="Q6" i="12" s="1"/>
  <c r="AR76" i="12"/>
  <c r="BG91" i="12"/>
  <c r="H96" i="29"/>
  <c r="H148" i="29"/>
  <c r="BG128" i="12" s="1"/>
  <c r="H51" i="29"/>
  <c r="H55" i="29" s="1"/>
  <c r="H138" i="29"/>
  <c r="BG118" i="12" s="1"/>
  <c r="D8" i="12"/>
  <c r="I26" i="21"/>
  <c r="BG76" i="12"/>
  <c r="H145" i="29"/>
  <c r="BG125" i="12" s="1"/>
  <c r="BV115" i="12"/>
  <c r="K142" i="30"/>
  <c r="J133" i="30"/>
  <c r="O204" i="30"/>
  <c r="CA169" i="12" s="1"/>
  <c r="J168" i="12"/>
  <c r="W168" i="33" s="1"/>
  <c r="K125" i="30"/>
  <c r="K28" i="30" s="1"/>
  <c r="K135" i="30"/>
  <c r="BW115" i="12" s="1"/>
  <c r="K127" i="30"/>
  <c r="N205" i="30"/>
  <c r="N62" i="4" s="1"/>
  <c r="I51" i="30"/>
  <c r="I55" i="30" s="1"/>
  <c r="K122" i="30"/>
  <c r="K143" i="30"/>
  <c r="K128" i="30"/>
  <c r="K129" i="30"/>
  <c r="M7" i="30"/>
  <c r="K124" i="30"/>
  <c r="K146" i="30"/>
  <c r="K147" i="30"/>
  <c r="K148" i="30" s="1"/>
  <c r="K130" i="30"/>
  <c r="K139" i="30"/>
  <c r="K140" i="30"/>
  <c r="K112" i="30"/>
  <c r="BW92" i="12" s="1"/>
  <c r="K137" i="30"/>
  <c r="J86" i="30"/>
  <c r="J92" i="30" s="1"/>
  <c r="J94" i="30"/>
  <c r="J93" i="30"/>
  <c r="K132" i="30"/>
  <c r="K144" i="30"/>
  <c r="BW124" i="12" s="1"/>
  <c r="K111" i="30"/>
  <c r="BW91" i="12" s="1"/>
  <c r="K136" i="30"/>
  <c r="BW116" i="12" s="1"/>
  <c r="BU67" i="12"/>
  <c r="K80" i="30"/>
  <c r="K131" i="30"/>
  <c r="K141" i="30"/>
  <c r="BW121" i="12" s="1"/>
  <c r="K115" i="30"/>
  <c r="BG116" i="12"/>
  <c r="I86" i="29"/>
  <c r="I92" i="29" s="1"/>
  <c r="I93" i="29"/>
  <c r="I94" i="29"/>
  <c r="I111" i="29"/>
  <c r="BH91" i="12" s="1"/>
  <c r="I142" i="29"/>
  <c r="I129" i="29"/>
  <c r="I122" i="29"/>
  <c r="I140" i="29"/>
  <c r="I132" i="29"/>
  <c r="I125" i="29"/>
  <c r="I28" i="29" s="1"/>
  <c r="I29" i="29" s="1"/>
  <c r="I143" i="29"/>
  <c r="BH123" i="12" s="1"/>
  <c r="I135" i="29"/>
  <c r="I127" i="29"/>
  <c r="I147" i="29"/>
  <c r="I112" i="29"/>
  <c r="BH92" i="12" s="1"/>
  <c r="I144" i="29"/>
  <c r="BH124" i="12" s="1"/>
  <c r="I130" i="29"/>
  <c r="I110" i="29"/>
  <c r="I146" i="29"/>
  <c r="I141" i="29"/>
  <c r="BH121" i="12" s="1"/>
  <c r="I128" i="29"/>
  <c r="BH116" i="12"/>
  <c r="I131" i="29"/>
  <c r="I124" i="29"/>
  <c r="BH104" i="12" s="1"/>
  <c r="I115" i="29"/>
  <c r="I118" i="29" s="1"/>
  <c r="I139" i="29"/>
  <c r="H133" i="29"/>
  <c r="H108" i="28"/>
  <c r="H51" i="28"/>
  <c r="D7" i="12"/>
  <c r="D9" i="12"/>
  <c r="Q9" i="33" s="1"/>
  <c r="G53" i="27"/>
  <c r="D94" i="12"/>
  <c r="Q94" i="33" s="1"/>
  <c r="F55" i="26"/>
  <c r="F145" i="26"/>
  <c r="G125" i="26"/>
  <c r="E26" i="32"/>
  <c r="AD8" i="33" s="1"/>
  <c r="E25" i="32"/>
  <c r="AD7" i="33" s="1"/>
  <c r="E30" i="32"/>
  <c r="K30" i="30"/>
  <c r="BW12" i="12" s="1"/>
  <c r="K26" i="30"/>
  <c r="K25" i="30"/>
  <c r="BW7" i="12" s="1"/>
  <c r="K27" i="30"/>
  <c r="BW9" i="12" s="1"/>
  <c r="J29" i="30"/>
  <c r="AU171" i="12"/>
  <c r="BI97" i="12"/>
  <c r="AD5" i="12"/>
  <c r="I84" i="34"/>
  <c r="CH65" i="12" s="1"/>
  <c r="CH5" i="12"/>
  <c r="J53" i="15"/>
  <c r="J146" i="15" s="1"/>
  <c r="J8" i="11"/>
  <c r="K23" i="15"/>
  <c r="K25" i="15" s="1"/>
  <c r="AS5" i="12"/>
  <c r="K19" i="11"/>
  <c r="L29" i="14"/>
  <c r="L29" i="15"/>
  <c r="L29" i="8"/>
  <c r="BV5" i="12"/>
  <c r="F148" i="27"/>
  <c r="AE128" i="12" s="1"/>
  <c r="F92" i="27"/>
  <c r="K160" i="30"/>
  <c r="F101" i="26"/>
  <c r="J101" i="29"/>
  <c r="H101" i="28"/>
  <c r="H95" i="28"/>
  <c r="H96" i="28" s="1"/>
  <c r="H145" i="28"/>
  <c r="H160" i="28"/>
  <c r="H118" i="28"/>
  <c r="AT98" i="12" s="1"/>
  <c r="F173" i="27"/>
  <c r="BG5" i="12"/>
  <c r="K173" i="30"/>
  <c r="F173" i="26"/>
  <c r="AE126" i="12"/>
  <c r="E126" i="12" s="1"/>
  <c r="R126" i="33" s="1"/>
  <c r="H133" i="28"/>
  <c r="F55" i="27"/>
  <c r="F108" i="27"/>
  <c r="F118" i="27"/>
  <c r="F114" i="27"/>
  <c r="AE94" i="12" s="1"/>
  <c r="F160" i="26"/>
  <c r="J160" i="29"/>
  <c r="BI101" i="12"/>
  <c r="AE76" i="12"/>
  <c r="H173" i="28"/>
  <c r="F160" i="27"/>
  <c r="F138" i="26"/>
  <c r="R118" i="12" s="1"/>
  <c r="F118" i="26"/>
  <c r="F92" i="26"/>
  <c r="L103" i="30"/>
  <c r="L82" i="30"/>
  <c r="L170" i="30"/>
  <c r="L165" i="30"/>
  <c r="L168" i="30"/>
  <c r="L171" i="30"/>
  <c r="L166" i="30"/>
  <c r="L116" i="30"/>
  <c r="BX96" i="12" s="1"/>
  <c r="L169" i="30"/>
  <c r="L167" i="30"/>
  <c r="BX147" i="12" s="1"/>
  <c r="L151" i="30"/>
  <c r="L154" i="30"/>
  <c r="L149" i="30"/>
  <c r="L157" i="30"/>
  <c r="L172" i="30"/>
  <c r="L155" i="30"/>
  <c r="L150" i="30"/>
  <c r="L117" i="30"/>
  <c r="BX97" i="12" s="1"/>
  <c r="L153" i="30"/>
  <c r="L156" i="30"/>
  <c r="L152" i="30"/>
  <c r="L158" i="30"/>
  <c r="L159" i="30"/>
  <c r="L134" i="30"/>
  <c r="L121" i="30"/>
  <c r="L119" i="30"/>
  <c r="BX99" i="12" s="1"/>
  <c r="L120" i="30"/>
  <c r="L98" i="30"/>
  <c r="L105" i="30"/>
  <c r="L123" i="30"/>
  <c r="L91" i="30"/>
  <c r="L102" i="30"/>
  <c r="L99" i="30"/>
  <c r="L106" i="30"/>
  <c r="L109" i="30"/>
  <c r="L97" i="30"/>
  <c r="L104" i="30"/>
  <c r="L100" i="30"/>
  <c r="L107" i="30"/>
  <c r="L54" i="30"/>
  <c r="L89" i="30"/>
  <c r="BX70" i="12" s="1"/>
  <c r="L52" i="30"/>
  <c r="L90" i="30"/>
  <c r="L87" i="30"/>
  <c r="BX68" i="12" s="1"/>
  <c r="L53" i="30"/>
  <c r="L85" i="30"/>
  <c r="L88" i="30"/>
  <c r="G103" i="26"/>
  <c r="G112" i="26"/>
  <c r="S92" i="12" s="1"/>
  <c r="G110" i="26"/>
  <c r="S90" i="12" s="1"/>
  <c r="G82" i="26"/>
  <c r="G111" i="26"/>
  <c r="G171" i="26"/>
  <c r="G117" i="26"/>
  <c r="G166" i="26"/>
  <c r="G169" i="26"/>
  <c r="G115" i="26"/>
  <c r="S95" i="12" s="1"/>
  <c r="G172" i="26"/>
  <c r="G167" i="26"/>
  <c r="S147" i="12" s="1"/>
  <c r="G170" i="26"/>
  <c r="G168" i="26"/>
  <c r="G152" i="26"/>
  <c r="G153" i="26"/>
  <c r="G116" i="26"/>
  <c r="S96" i="12" s="1"/>
  <c r="G154" i="26"/>
  <c r="G157" i="26"/>
  <c r="G165" i="26"/>
  <c r="G151" i="26"/>
  <c r="G150" i="26"/>
  <c r="G155" i="26"/>
  <c r="G158" i="26"/>
  <c r="G149" i="26"/>
  <c r="G156" i="26"/>
  <c r="G142" i="26"/>
  <c r="S122" i="12" s="1"/>
  <c r="G146" i="26"/>
  <c r="S126" i="12" s="1"/>
  <c r="G159" i="26"/>
  <c r="G134" i="26"/>
  <c r="G143" i="26"/>
  <c r="S123" i="12" s="1"/>
  <c r="G147" i="26"/>
  <c r="G135" i="26"/>
  <c r="G141" i="26"/>
  <c r="S121" i="12" s="1"/>
  <c r="G144" i="26"/>
  <c r="S124" i="12" s="1"/>
  <c r="G129" i="26"/>
  <c r="G132" i="26"/>
  <c r="G127" i="26"/>
  <c r="G130" i="26"/>
  <c r="G128" i="26"/>
  <c r="G131" i="26"/>
  <c r="G124" i="26"/>
  <c r="S104" i="12" s="1"/>
  <c r="G121" i="26"/>
  <c r="S101" i="12" s="1"/>
  <c r="G122" i="26"/>
  <c r="G119" i="26"/>
  <c r="G123" i="26"/>
  <c r="G120" i="26"/>
  <c r="G93" i="26"/>
  <c r="G99" i="26"/>
  <c r="G91" i="26"/>
  <c r="G97" i="26"/>
  <c r="G104" i="26"/>
  <c r="G109" i="26"/>
  <c r="G87" i="26"/>
  <c r="G107" i="26"/>
  <c r="G53" i="26"/>
  <c r="G90" i="26"/>
  <c r="G94" i="26"/>
  <c r="G100" i="26"/>
  <c r="G85" i="26"/>
  <c r="G105" i="26"/>
  <c r="G88" i="26"/>
  <c r="G98" i="26"/>
  <c r="G54" i="26"/>
  <c r="G102" i="26"/>
  <c r="G86" i="26"/>
  <c r="S67" i="12" s="1"/>
  <c r="G106" i="26"/>
  <c r="G89" i="26"/>
  <c r="G52" i="26"/>
  <c r="G79" i="26"/>
  <c r="G78" i="26"/>
  <c r="G80" i="26"/>
  <c r="G139" i="26"/>
  <c r="G51" i="26"/>
  <c r="G140" i="26"/>
  <c r="J170" i="12"/>
  <c r="W170" i="33" s="1"/>
  <c r="J170" i="33" s="1"/>
  <c r="BI76" i="12"/>
  <c r="H148" i="28"/>
  <c r="K101" i="30"/>
  <c r="K118" i="30"/>
  <c r="F95" i="26"/>
  <c r="F96" i="26" s="1"/>
  <c r="F148" i="26"/>
  <c r="R128" i="12" s="1"/>
  <c r="J108" i="29"/>
  <c r="H92" i="28"/>
  <c r="H126" i="28"/>
  <c r="F126" i="27"/>
  <c r="F145" i="27"/>
  <c r="AE125" i="12" s="1"/>
  <c r="J173" i="29"/>
  <c r="G82" i="27"/>
  <c r="G111" i="27"/>
  <c r="G110" i="27"/>
  <c r="AF90" i="12" s="1"/>
  <c r="G103" i="27"/>
  <c r="G112" i="27"/>
  <c r="G165" i="27"/>
  <c r="G116" i="27"/>
  <c r="AF96" i="12" s="1"/>
  <c r="G168" i="27"/>
  <c r="G171" i="27"/>
  <c r="G166" i="27"/>
  <c r="G117" i="27"/>
  <c r="AF97" i="12" s="1"/>
  <c r="G169" i="27"/>
  <c r="G172" i="27"/>
  <c r="G170" i="27"/>
  <c r="G155" i="27"/>
  <c r="G167" i="27"/>
  <c r="G150" i="27"/>
  <c r="G158" i="27"/>
  <c r="G153" i="27"/>
  <c r="G156" i="27"/>
  <c r="G151" i="27"/>
  <c r="G159" i="27"/>
  <c r="G154" i="27"/>
  <c r="G115" i="27"/>
  <c r="G149" i="27"/>
  <c r="G157" i="27"/>
  <c r="G135" i="27"/>
  <c r="AF115" i="12" s="1"/>
  <c r="G143" i="27"/>
  <c r="AF123" i="12" s="1"/>
  <c r="G141" i="27"/>
  <c r="G146" i="27"/>
  <c r="AF116" i="12"/>
  <c r="G144" i="27"/>
  <c r="G139" i="27"/>
  <c r="G134" i="27"/>
  <c r="G142" i="27"/>
  <c r="AF122" i="12" s="1"/>
  <c r="G147" i="27"/>
  <c r="AF127" i="12" s="1"/>
  <c r="G140" i="27"/>
  <c r="G127" i="27"/>
  <c r="G130" i="27"/>
  <c r="G152" i="27"/>
  <c r="G128" i="27"/>
  <c r="G131" i="27"/>
  <c r="G129" i="27"/>
  <c r="G132" i="27"/>
  <c r="G97" i="27"/>
  <c r="G104" i="27"/>
  <c r="G124" i="27"/>
  <c r="AF104" i="12" s="1"/>
  <c r="G94" i="27"/>
  <c r="G100" i="27"/>
  <c r="G107" i="27"/>
  <c r="G121" i="27"/>
  <c r="AF101" i="12" s="1"/>
  <c r="G90" i="27"/>
  <c r="AF71" i="12" s="1"/>
  <c r="G122" i="27"/>
  <c r="G98" i="27"/>
  <c r="G105" i="27"/>
  <c r="G125" i="27"/>
  <c r="G28" i="27" s="1"/>
  <c r="G119" i="27"/>
  <c r="G91" i="27"/>
  <c r="G102" i="27"/>
  <c r="G123" i="27"/>
  <c r="G93" i="27"/>
  <c r="G99" i="27"/>
  <c r="G106" i="27"/>
  <c r="G109" i="27"/>
  <c r="G120" i="27"/>
  <c r="G88" i="27"/>
  <c r="G78" i="27"/>
  <c r="G86" i="27"/>
  <c r="AF67" i="12" s="1"/>
  <c r="G80" i="27"/>
  <c r="G89" i="27"/>
  <c r="AF70" i="12" s="1"/>
  <c r="G79" i="27"/>
  <c r="G51" i="27"/>
  <c r="G87" i="27"/>
  <c r="G54" i="27"/>
  <c r="G85" i="27"/>
  <c r="G52" i="27"/>
  <c r="H83" i="28"/>
  <c r="AE12" i="12"/>
  <c r="AR5" i="12"/>
  <c r="H169" i="12"/>
  <c r="U169" i="33" s="1"/>
  <c r="U171" i="33" s="1"/>
  <c r="H114" i="28"/>
  <c r="AT94" i="12" s="1"/>
  <c r="F96" i="27"/>
  <c r="F101" i="27"/>
  <c r="F133" i="27"/>
  <c r="F138" i="27"/>
  <c r="K108" i="30"/>
  <c r="F126" i="26"/>
  <c r="F133" i="26"/>
  <c r="AD107" i="33"/>
  <c r="K204" i="32"/>
  <c r="AJ169" i="33" s="1"/>
  <c r="AF106" i="33"/>
  <c r="AF10" i="33"/>
  <c r="K18" i="11"/>
  <c r="CJ8" i="12"/>
  <c r="CJ9" i="12"/>
  <c r="L28" i="14"/>
  <c r="L28" i="15"/>
  <c r="L28" i="8"/>
  <c r="H166" i="12"/>
  <c r="E93" i="12"/>
  <c r="R93" i="33" s="1"/>
  <c r="E71" i="12"/>
  <c r="R71" i="33" s="1"/>
  <c r="E71" i="33" s="1"/>
  <c r="E97" i="12"/>
  <c r="R97" i="33" s="1"/>
  <c r="E97" i="33" s="1"/>
  <c r="E147" i="12"/>
  <c r="R147" i="33" s="1"/>
  <c r="E147" i="33" s="1"/>
  <c r="E146" i="12"/>
  <c r="R146" i="33" s="1"/>
  <c r="E92" i="12"/>
  <c r="R92" i="33" s="1"/>
  <c r="E145" i="12"/>
  <c r="R145" i="33" s="1"/>
  <c r="E121" i="12"/>
  <c r="E127" i="12"/>
  <c r="R127" i="33" s="1"/>
  <c r="E90" i="12"/>
  <c r="R90" i="33" s="1"/>
  <c r="BQ34" i="12"/>
  <c r="BQ136" i="12"/>
  <c r="BQ133" i="12"/>
  <c r="BQ83" i="12"/>
  <c r="BQ108" i="12"/>
  <c r="BQ64" i="12"/>
  <c r="BQ137" i="12"/>
  <c r="BQ131" i="12"/>
  <c r="BQ114" i="12"/>
  <c r="BQ151" i="12"/>
  <c r="BQ110" i="12"/>
  <c r="BQ103" i="12"/>
  <c r="BQ152" i="12"/>
  <c r="BQ111" i="12"/>
  <c r="BQ105" i="12"/>
  <c r="BQ149" i="12"/>
  <c r="BQ60" i="12"/>
  <c r="BQ150" i="12"/>
  <c r="BQ109" i="12"/>
  <c r="BQ89" i="12"/>
  <c r="BQ138" i="12"/>
  <c r="BQ63" i="12"/>
  <c r="BQ134" i="12"/>
  <c r="BQ100" i="12"/>
  <c r="BQ132" i="12"/>
  <c r="BQ85" i="12"/>
  <c r="BQ72" i="12"/>
  <c r="BQ142" i="12"/>
  <c r="BQ112" i="12"/>
  <c r="BQ84" i="12"/>
  <c r="BQ130" i="12"/>
  <c r="BQ80" i="12"/>
  <c r="BQ75" i="12"/>
  <c r="BQ143" i="12"/>
  <c r="BQ139" i="12"/>
  <c r="BQ81" i="12"/>
  <c r="BQ120" i="12"/>
  <c r="E78" i="30"/>
  <c r="BQ135" i="12"/>
  <c r="BQ119" i="12"/>
  <c r="BQ79" i="12"/>
  <c r="BQ87" i="12"/>
  <c r="BQ61" i="12"/>
  <c r="BR138" i="12"/>
  <c r="BR87" i="12"/>
  <c r="BR149" i="12"/>
  <c r="BR84" i="12"/>
  <c r="BR105" i="12"/>
  <c r="BR103" i="12"/>
  <c r="BR134" i="12"/>
  <c r="BR142" i="12"/>
  <c r="BR89" i="12"/>
  <c r="BR151" i="12"/>
  <c r="BR143" i="12"/>
  <c r="BR72" i="12"/>
  <c r="BR131" i="12"/>
  <c r="BR61" i="12"/>
  <c r="BR152" i="12"/>
  <c r="BR75" i="12"/>
  <c r="BR114" i="12"/>
  <c r="BR133" i="12"/>
  <c r="BR135" i="12"/>
  <c r="BR132" i="12"/>
  <c r="BR119" i="12"/>
  <c r="BR60" i="12"/>
  <c r="BR80" i="12"/>
  <c r="BR100" i="12"/>
  <c r="BR120" i="12"/>
  <c r="BR139" i="12"/>
  <c r="BR136" i="12"/>
  <c r="BR63" i="12"/>
  <c r="BR83" i="12"/>
  <c r="BR79" i="12"/>
  <c r="BR137" i="12"/>
  <c r="BR59" i="12"/>
  <c r="BR85" i="12"/>
  <c r="BR81" i="12"/>
  <c r="BR150" i="12"/>
  <c r="BR130" i="12"/>
  <c r="CF105" i="12"/>
  <c r="CF10" i="12"/>
  <c r="BE63" i="12"/>
  <c r="BE81" i="12"/>
  <c r="BE136" i="12"/>
  <c r="BE75" i="12"/>
  <c r="BE83" i="12"/>
  <c r="BE119" i="12"/>
  <c r="BE131" i="12"/>
  <c r="BE85" i="12"/>
  <c r="BE103" i="12"/>
  <c r="BE100" i="12"/>
  <c r="BE84" i="12"/>
  <c r="BE135" i="12"/>
  <c r="BE142" i="12"/>
  <c r="BE87" i="12"/>
  <c r="BE105" i="12"/>
  <c r="BE150" i="12"/>
  <c r="BE61" i="12"/>
  <c r="BE133" i="12"/>
  <c r="BE139" i="12"/>
  <c r="BE143" i="12"/>
  <c r="BE89" i="12"/>
  <c r="BE152" i="12"/>
  <c r="BE59" i="12"/>
  <c r="BE137" i="12"/>
  <c r="BE130" i="12"/>
  <c r="BE151" i="12"/>
  <c r="BE149" i="12"/>
  <c r="BE138" i="12"/>
  <c r="BE132" i="12"/>
  <c r="BE80" i="12"/>
  <c r="BE60" i="12"/>
  <c r="BE79" i="12"/>
  <c r="BE114" i="12"/>
  <c r="BE134" i="12"/>
  <c r="BE120" i="12"/>
  <c r="BE72" i="12"/>
  <c r="CD138" i="12"/>
  <c r="CD109" i="12"/>
  <c r="CD79" i="12"/>
  <c r="CD135" i="12"/>
  <c r="CD120" i="12"/>
  <c r="CD80" i="12"/>
  <c r="CD34" i="12"/>
  <c r="CD85" i="12"/>
  <c r="CD72" i="12"/>
  <c r="CD63" i="12"/>
  <c r="CD75" i="12"/>
  <c r="CD64" i="12"/>
  <c r="CD61" i="12"/>
  <c r="CD33" i="12"/>
  <c r="CD131" i="12"/>
  <c r="CD89" i="12"/>
  <c r="CD60" i="12"/>
  <c r="CD83" i="12"/>
  <c r="CD59" i="12"/>
  <c r="CD142" i="12"/>
  <c r="CD110" i="12"/>
  <c r="CD84" i="12"/>
  <c r="CD150" i="12"/>
  <c r="CD132" i="12"/>
  <c r="CD87" i="12"/>
  <c r="CD103" i="12"/>
  <c r="CD111" i="12"/>
  <c r="CD136" i="12"/>
  <c r="CD108" i="12"/>
  <c r="CD151" i="12"/>
  <c r="CD130" i="12"/>
  <c r="CD149" i="12"/>
  <c r="CD133" i="12"/>
  <c r="CD105" i="12"/>
  <c r="CD100" i="12"/>
  <c r="CD114" i="12"/>
  <c r="CD134" i="12"/>
  <c r="CD139" i="12"/>
  <c r="CD112" i="12"/>
  <c r="CD119" i="12"/>
  <c r="CD137" i="12"/>
  <c r="CD81" i="12"/>
  <c r="CD143" i="12"/>
  <c r="CD152" i="12"/>
  <c r="BD134" i="12"/>
  <c r="BD135" i="12"/>
  <c r="BD60" i="12"/>
  <c r="BD137" i="12"/>
  <c r="BD132" i="12"/>
  <c r="BD110" i="12"/>
  <c r="BD133" i="12"/>
  <c r="BD131" i="12"/>
  <c r="BD63" i="12"/>
  <c r="BD130" i="12"/>
  <c r="BD108" i="12"/>
  <c r="BD87" i="12"/>
  <c r="BD72" i="12"/>
  <c r="BD151" i="12"/>
  <c r="BD105" i="12"/>
  <c r="BD85" i="12"/>
  <c r="BD81" i="12"/>
  <c r="BD112" i="12"/>
  <c r="BD89" i="12"/>
  <c r="BD75" i="12"/>
  <c r="BD149" i="12"/>
  <c r="BD103" i="12"/>
  <c r="BD83" i="12"/>
  <c r="BD119" i="12"/>
  <c r="BD84" i="12"/>
  <c r="BD59" i="12"/>
  <c r="BD136" i="12"/>
  <c r="BD80" i="12"/>
  <c r="BD152" i="12"/>
  <c r="BD114" i="12"/>
  <c r="BD79" i="12"/>
  <c r="BD61" i="12"/>
  <c r="BD142" i="12"/>
  <c r="BD120" i="12"/>
  <c r="BD100" i="12"/>
  <c r="BD109" i="12"/>
  <c r="BD111" i="12"/>
  <c r="BD64" i="12"/>
  <c r="BD143" i="12"/>
  <c r="BD138" i="12"/>
  <c r="BD150" i="12"/>
  <c r="BD139" i="12"/>
  <c r="CF81" i="12"/>
  <c r="CF79" i="12"/>
  <c r="CF84" i="12"/>
  <c r="CF80" i="12"/>
  <c r="CF34" i="12"/>
  <c r="CF85" i="12"/>
  <c r="CF72" i="12"/>
  <c r="CF63" i="12"/>
  <c r="CF33" i="12"/>
  <c r="CF103" i="12"/>
  <c r="CF83" i="12"/>
  <c r="CF60" i="12"/>
  <c r="CF151" i="12"/>
  <c r="CF135" i="12"/>
  <c r="CF133" i="12"/>
  <c r="CF142" i="12"/>
  <c r="CF114" i="12"/>
  <c r="CF87" i="12"/>
  <c r="CF149" i="12"/>
  <c r="CF131" i="12"/>
  <c r="CF132" i="12"/>
  <c r="CF89" i="12"/>
  <c r="CF100" i="12"/>
  <c r="CF152" i="12"/>
  <c r="CF138" i="12"/>
  <c r="CF136" i="12"/>
  <c r="CF59" i="12"/>
  <c r="CF61" i="12"/>
  <c r="CF143" i="12"/>
  <c r="CF134" i="12"/>
  <c r="CF139" i="12"/>
  <c r="CF137" i="12"/>
  <c r="CF150" i="12"/>
  <c r="CF130" i="12"/>
  <c r="CF120" i="12"/>
  <c r="CF119" i="12"/>
  <c r="CF75" i="12"/>
  <c r="CE105" i="12"/>
  <c r="CE100" i="12"/>
  <c r="CE150" i="12"/>
  <c r="CE132" i="12"/>
  <c r="CE60" i="12"/>
  <c r="CE59" i="12"/>
  <c r="CE142" i="12"/>
  <c r="CE119" i="12"/>
  <c r="CE79" i="12"/>
  <c r="CE131" i="12"/>
  <c r="CE137" i="12"/>
  <c r="CE80" i="12"/>
  <c r="CE61" i="12"/>
  <c r="CE139" i="12"/>
  <c r="CE87" i="12"/>
  <c r="CE149" i="12"/>
  <c r="CE84" i="12"/>
  <c r="CE134" i="12"/>
  <c r="CE152" i="12"/>
  <c r="CE151" i="12"/>
  <c r="CE135" i="12"/>
  <c r="CE120" i="12"/>
  <c r="CE72" i="12"/>
  <c r="CE85" i="12"/>
  <c r="CE33" i="12"/>
  <c r="CE103" i="12"/>
  <c r="CE133" i="12"/>
  <c r="CE34" i="12"/>
  <c r="CE114" i="12"/>
  <c r="CE75" i="12"/>
  <c r="CE130" i="12"/>
  <c r="CE138" i="12"/>
  <c r="CE63" i="12"/>
  <c r="CE143" i="12"/>
  <c r="CE81" i="12"/>
  <c r="CE89" i="12"/>
  <c r="CE83" i="12"/>
  <c r="CE136" i="12"/>
  <c r="E69" i="12"/>
  <c r="R69" i="33" s="1"/>
  <c r="E69" i="33" s="1"/>
  <c r="E67" i="12"/>
  <c r="R67" i="33" s="1"/>
  <c r="E95" i="12"/>
  <c r="R95" i="33" s="1"/>
  <c r="E95" i="33" s="1"/>
  <c r="E115" i="12"/>
  <c r="R115" i="33" s="1"/>
  <c r="E124" i="12"/>
  <c r="R124" i="33" s="1"/>
  <c r="E70" i="12"/>
  <c r="R70" i="33" s="1"/>
  <c r="E70" i="33" s="1"/>
  <c r="E123" i="12"/>
  <c r="R123" i="33" s="1"/>
  <c r="E99" i="12"/>
  <c r="E122" i="12"/>
  <c r="R122" i="33" s="1"/>
  <c r="E68" i="12"/>
  <c r="R68" i="33" s="1"/>
  <c r="E68" i="33" s="1"/>
  <c r="F165" i="12"/>
  <c r="G164" i="12"/>
  <c r="E117" i="12"/>
  <c r="R117" i="33" s="1"/>
  <c r="E96" i="12"/>
  <c r="R96" i="33" s="1"/>
  <c r="E96" i="33" s="1"/>
  <c r="E116" i="12"/>
  <c r="R116" i="33" s="1"/>
  <c r="E101" i="12"/>
  <c r="R101" i="33" s="1"/>
  <c r="E101" i="33" s="1"/>
  <c r="E91" i="12"/>
  <c r="R91" i="33" s="1"/>
  <c r="E104" i="12"/>
  <c r="R104" i="33" s="1"/>
  <c r="E104" i="33" s="1"/>
  <c r="G171" i="12"/>
  <c r="D69" i="12"/>
  <c r="Q69" i="33" s="1"/>
  <c r="D69" i="33" s="1"/>
  <c r="D122" i="12"/>
  <c r="Q122" i="33" s="1"/>
  <c r="D122" i="33" s="1"/>
  <c r="D68" i="12"/>
  <c r="Q68" i="33" s="1"/>
  <c r="D68" i="33" s="1"/>
  <c r="D67" i="12"/>
  <c r="Q67" i="33" s="1"/>
  <c r="D67" i="33" s="1"/>
  <c r="D92" i="12"/>
  <c r="Q92" i="33" s="1"/>
  <c r="D92" i="33" s="1"/>
  <c r="D123" i="12"/>
  <c r="Q123" i="33" s="1"/>
  <c r="D123" i="33" s="1"/>
  <c r="D117" i="12"/>
  <c r="Q117" i="33" s="1"/>
  <c r="D117" i="33" s="1"/>
  <c r="D127" i="12"/>
  <c r="Q127" i="33" s="1"/>
  <c r="D127" i="33" s="1"/>
  <c r="D124" i="12"/>
  <c r="Q124" i="33" s="1"/>
  <c r="D124" i="33" s="1"/>
  <c r="D115" i="12"/>
  <c r="Q115" i="33" s="1"/>
  <c r="D115" i="33" s="1"/>
  <c r="D90" i="12"/>
  <c r="Q90" i="33" s="1"/>
  <c r="D90" i="33" s="1"/>
  <c r="D126" i="12"/>
  <c r="Q126" i="33" s="1"/>
  <c r="D126" i="33" s="1"/>
  <c r="D146" i="12"/>
  <c r="Q146" i="33" s="1"/>
  <c r="D146" i="33" s="1"/>
  <c r="D70" i="12"/>
  <c r="Q70" i="33" s="1"/>
  <c r="D70" i="33" s="1"/>
  <c r="D116" i="12"/>
  <c r="Q116" i="33" s="1"/>
  <c r="D116" i="33" s="1"/>
  <c r="D91" i="12"/>
  <c r="Q91" i="33" s="1"/>
  <c r="D91" i="33" s="1"/>
  <c r="D71" i="12"/>
  <c r="Q71" i="33" s="1"/>
  <c r="D71" i="33" s="1"/>
  <c r="D76" i="12"/>
  <c r="Q76" i="33" s="1"/>
  <c r="D76" i="33" s="1"/>
  <c r="N441" i="15"/>
  <c r="F169" i="8"/>
  <c r="L89" i="15"/>
  <c r="O89" i="15" s="1"/>
  <c r="K143" i="14"/>
  <c r="K71" i="14"/>
  <c r="I74" i="14"/>
  <c r="I69" i="14"/>
  <c r="I67" i="14"/>
  <c r="N245" i="14"/>
  <c r="N178" i="14" s="1"/>
  <c r="N180" i="14" s="1"/>
  <c r="N88" i="14" s="1"/>
  <c r="M178" i="14"/>
  <c r="M180" i="14" s="1"/>
  <c r="N56" i="15"/>
  <c r="N60" i="15" s="1"/>
  <c r="N63" i="15"/>
  <c r="M66" i="15"/>
  <c r="J58" i="14"/>
  <c r="J441" i="14"/>
  <c r="K58" i="8"/>
  <c r="K459" i="8"/>
  <c r="K57" i="8" s="1"/>
  <c r="I68" i="14"/>
  <c r="I75" i="14" s="1"/>
  <c r="I151" i="14" s="1"/>
  <c r="I152" i="14" s="1"/>
  <c r="I73" i="14"/>
  <c r="I70" i="14"/>
  <c r="I72" i="14"/>
  <c r="L77" i="14"/>
  <c r="L76" i="14"/>
  <c r="L80" i="14" s="1"/>
  <c r="M81" i="8"/>
  <c r="M89" i="8" s="1"/>
  <c r="M141" i="8"/>
  <c r="M32" i="8" s="1"/>
  <c r="M156" i="8"/>
  <c r="M82" i="8"/>
  <c r="M92" i="8"/>
  <c r="M149" i="8"/>
  <c r="M79" i="8"/>
  <c r="M91" i="8"/>
  <c r="M108" i="8" s="1"/>
  <c r="M123" i="8"/>
  <c r="M40" i="8" s="1"/>
  <c r="M136" i="8"/>
  <c r="M76" i="8"/>
  <c r="M80" i="8" s="1"/>
  <c r="M77" i="8"/>
  <c r="P7" i="14"/>
  <c r="Q6" i="14"/>
  <c r="J65" i="14"/>
  <c r="J42" i="14" s="1"/>
  <c r="O79" i="14"/>
  <c r="O82" i="14"/>
  <c r="O81" i="14"/>
  <c r="O84" i="14" s="1"/>
  <c r="O132" i="14"/>
  <c r="O119" i="14"/>
  <c r="O124" i="14"/>
  <c r="O32" i="14" s="1"/>
  <c r="O139" i="14"/>
  <c r="O111" i="14"/>
  <c r="O143" i="14"/>
  <c r="O429" i="15"/>
  <c r="O356" i="15"/>
  <c r="O340" i="15"/>
  <c r="O421" i="15"/>
  <c r="O377" i="15"/>
  <c r="O359" i="15"/>
  <c r="O343" i="15"/>
  <c r="O393" i="15"/>
  <c r="O399" i="15"/>
  <c r="O363" i="15"/>
  <c r="O395" i="15"/>
  <c r="O372" i="15"/>
  <c r="O382" i="15"/>
  <c r="O352" i="15"/>
  <c r="O329" i="15"/>
  <c r="O378" i="15"/>
  <c r="O391" i="15"/>
  <c r="O383" i="15"/>
  <c r="O389" i="15"/>
  <c r="O323" i="15"/>
  <c r="O423" i="15"/>
  <c r="O360" i="15"/>
  <c r="O380" i="15"/>
  <c r="O370" i="15"/>
  <c r="O349" i="15"/>
  <c r="O328" i="15"/>
  <c r="O362" i="15"/>
  <c r="O396" i="15"/>
  <c r="O439" i="15"/>
  <c r="O427" i="15"/>
  <c r="O331" i="15"/>
  <c r="O379" i="15"/>
  <c r="O364" i="15"/>
  <c r="O316" i="15"/>
  <c r="O317" i="15"/>
  <c r="O348" i="15"/>
  <c r="O325" i="15"/>
  <c r="O397" i="15"/>
  <c r="O319" i="15"/>
  <c r="O369" i="15"/>
  <c r="O428" i="15"/>
  <c r="O347" i="15"/>
  <c r="O375" i="15"/>
  <c r="O425" i="15"/>
  <c r="O387" i="15"/>
  <c r="O422" i="15"/>
  <c r="O345" i="15"/>
  <c r="O437" i="15"/>
  <c r="O367" i="15"/>
  <c r="O388" i="15"/>
  <c r="O384" i="15"/>
  <c r="O326" i="15"/>
  <c r="O355" i="15"/>
  <c r="O322" i="15"/>
  <c r="O440" i="15"/>
  <c r="O5" i="15"/>
  <c r="O385" i="15"/>
  <c r="O344" i="15"/>
  <c r="O390" i="15"/>
  <c r="O398" i="15"/>
  <c r="O424" i="15"/>
  <c r="O433" i="15"/>
  <c r="O334" i="15"/>
  <c r="O320" i="15"/>
  <c r="O354" i="15"/>
  <c r="O432" i="15"/>
  <c r="O366" i="15"/>
  <c r="O341" i="15"/>
  <c r="O381" i="15"/>
  <c r="O436" i="15"/>
  <c r="O373" i="15"/>
  <c r="O430" i="15"/>
  <c r="O342" i="15"/>
  <c r="O426" i="15"/>
  <c r="O365" i="15"/>
  <c r="O435" i="15"/>
  <c r="O357" i="15"/>
  <c r="O337" i="15"/>
  <c r="O374" i="15"/>
  <c r="O392" i="15"/>
  <c r="O346" i="15"/>
  <c r="O431" i="15"/>
  <c r="O350" i="15"/>
  <c r="O434" i="15"/>
  <c r="O335" i="15"/>
  <c r="O361" i="15"/>
  <c r="O394" i="15"/>
  <c r="O376" i="15"/>
  <c r="O400" i="15"/>
  <c r="O358" i="15"/>
  <c r="O386" i="15"/>
  <c r="O368" i="15"/>
  <c r="O353" i="15"/>
  <c r="O351" i="15"/>
  <c r="O332" i="15"/>
  <c r="O438" i="15"/>
  <c r="O371" i="15"/>
  <c r="O419" i="15"/>
  <c r="O327" i="15"/>
  <c r="O324" i="15"/>
  <c r="O64" i="15" s="1"/>
  <c r="O339" i="15"/>
  <c r="O333" i="15"/>
  <c r="O413" i="15"/>
  <c r="O330" i="15"/>
  <c r="O416" i="15"/>
  <c r="O415" i="15"/>
  <c r="O405" i="15"/>
  <c r="O321" i="15"/>
  <c r="O318" i="15"/>
  <c r="O338" i="15"/>
  <c r="O406" i="15"/>
  <c r="O336" i="15"/>
  <c r="O414" i="15"/>
  <c r="O402" i="15"/>
  <c r="O401" i="15"/>
  <c r="O409" i="15"/>
  <c r="O417" i="15"/>
  <c r="O410" i="15"/>
  <c r="Q8" i="14"/>
  <c r="P9" i="14"/>
  <c r="E24" i="27"/>
  <c r="AD6" i="12" s="1"/>
  <c r="N9" i="8"/>
  <c r="O8" i="8"/>
  <c r="L68" i="15"/>
  <c r="L75" i="15" s="1"/>
  <c r="L73" i="15"/>
  <c r="L72" i="15"/>
  <c r="L70" i="15"/>
  <c r="L67" i="15"/>
  <c r="Q4" i="14"/>
  <c r="L408" i="8"/>
  <c r="L401" i="8"/>
  <c r="L449" i="8"/>
  <c r="L391" i="8"/>
  <c r="L415" i="8"/>
  <c r="L454" i="8"/>
  <c r="L354" i="8"/>
  <c r="L431" i="8"/>
  <c r="L345" i="8"/>
  <c r="L440" i="8"/>
  <c r="L433" i="8"/>
  <c r="L416" i="8"/>
  <c r="L392" i="8"/>
  <c r="L367" i="8"/>
  <c r="L455" i="8"/>
  <c r="L361" i="8"/>
  <c r="L437" i="8"/>
  <c r="L350" i="8"/>
  <c r="L436" i="8"/>
  <c r="L427" i="8"/>
  <c r="L447" i="8"/>
  <c r="L445" i="8"/>
  <c r="L372" i="8"/>
  <c r="L396" i="8"/>
  <c r="L403" i="8"/>
  <c r="L365" i="8"/>
  <c r="L457" i="8"/>
  <c r="L336" i="8"/>
  <c r="L356" i="8"/>
  <c r="L344" i="8"/>
  <c r="L339" i="8"/>
  <c r="L352" i="8"/>
  <c r="L441" i="8"/>
  <c r="L377" i="8"/>
  <c r="L402" i="8"/>
  <c r="L371" i="8"/>
  <c r="L360" i="8"/>
  <c r="L456" i="8"/>
  <c r="L425" i="8"/>
  <c r="L419" i="8"/>
  <c r="L422" i="8"/>
  <c r="L420" i="8"/>
  <c r="L450" i="8"/>
  <c r="L444" i="8"/>
  <c r="L386" i="8"/>
  <c r="L388" i="8"/>
  <c r="L385" i="8"/>
  <c r="L406" i="8"/>
  <c r="L448" i="8"/>
  <c r="L411" i="8"/>
  <c r="L418" i="8"/>
  <c r="L342" i="8"/>
  <c r="L429" i="8"/>
  <c r="L426" i="8"/>
  <c r="L355" i="8"/>
  <c r="L390" i="8"/>
  <c r="L446" i="8"/>
  <c r="L384" i="8"/>
  <c r="L393" i="8"/>
  <c r="L410" i="8"/>
  <c r="L458" i="8"/>
  <c r="L395" i="8"/>
  <c r="L353" i="8"/>
  <c r="L348" i="8"/>
  <c r="L435" i="8"/>
  <c r="L421" i="8"/>
  <c r="L434" i="8"/>
  <c r="L399" i="8"/>
  <c r="L389" i="8"/>
  <c r="L400" i="8"/>
  <c r="L397" i="8"/>
  <c r="L414" i="8"/>
  <c r="L452" i="8"/>
  <c r="L362" i="8"/>
  <c r="L413" i="8"/>
  <c r="L423" i="8"/>
  <c r="L335" i="8"/>
  <c r="L424" i="8"/>
  <c r="L428" i="8"/>
  <c r="L442" i="8"/>
  <c r="L398" i="8"/>
  <c r="L404" i="8"/>
  <c r="L405" i="8"/>
  <c r="L383" i="8"/>
  <c r="L417" i="8"/>
  <c r="L409" i="8"/>
  <c r="L430" i="8"/>
  <c r="L351" i="8"/>
  <c r="L341" i="8"/>
  <c r="L338" i="8"/>
  <c r="L387" i="8"/>
  <c r="L394" i="8"/>
  <c r="L407" i="8"/>
  <c r="L432" i="8"/>
  <c r="L412" i="8"/>
  <c r="L347" i="8"/>
  <c r="L366" i="8"/>
  <c r="L370" i="8"/>
  <c r="L453" i="8"/>
  <c r="L451" i="8"/>
  <c r="L443" i="8"/>
  <c r="L438" i="8"/>
  <c r="L357" i="8"/>
  <c r="L381" i="8"/>
  <c r="L343" i="8"/>
  <c r="L375" i="8"/>
  <c r="L340" i="8"/>
  <c r="L64" i="8" s="1"/>
  <c r="L382" i="8"/>
  <c r="L374" i="8"/>
  <c r="L334" i="8"/>
  <c r="L380" i="8"/>
  <c r="L373" i="8"/>
  <c r="L368" i="8"/>
  <c r="L439" i="8"/>
  <c r="L65" i="8" s="1"/>
  <c r="L42" i="8" s="1"/>
  <c r="L337" i="8"/>
  <c r="L63" i="8" s="1"/>
  <c r="L376" i="8"/>
  <c r="L369" i="8"/>
  <c r="L349" i="8"/>
  <c r="L379" i="8"/>
  <c r="L378" i="8"/>
  <c r="L346" i="8"/>
  <c r="L363" i="8"/>
  <c r="L364" i="8"/>
  <c r="L111" i="15"/>
  <c r="L184" i="15"/>
  <c r="L183" i="15"/>
  <c r="L92" i="15" s="1"/>
  <c r="L94" i="15" s="1"/>
  <c r="P200" i="8"/>
  <c r="P201" i="8" s="1"/>
  <c r="Q255" i="8"/>
  <c r="Q200" i="8" s="1"/>
  <c r="N89" i="14"/>
  <c r="L90" i="15"/>
  <c r="O90" i="15" s="1"/>
  <c r="K62" i="8"/>
  <c r="K66" i="8" s="1"/>
  <c r="M4" i="8"/>
  <c r="L5" i="8"/>
  <c r="M178" i="15"/>
  <c r="M180" i="15" s="1"/>
  <c r="M341" i="15"/>
  <c r="M56" i="15" s="1"/>
  <c r="M60" i="15" s="1"/>
  <c r="N90" i="14"/>
  <c r="N58" i="15"/>
  <c r="J64" i="14"/>
  <c r="N65" i="15"/>
  <c r="N42" i="15" s="1"/>
  <c r="N62" i="15"/>
  <c r="J62" i="14"/>
  <c r="J66" i="14" s="1"/>
  <c r="K362" i="14"/>
  <c r="K410" i="14"/>
  <c r="K386" i="14"/>
  <c r="K346" i="14"/>
  <c r="K333" i="14"/>
  <c r="K400" i="14"/>
  <c r="K408" i="14"/>
  <c r="K371" i="14"/>
  <c r="K328" i="14"/>
  <c r="K351" i="14"/>
  <c r="K364" i="14"/>
  <c r="K352" i="14"/>
  <c r="K428" i="14"/>
  <c r="K361" i="14"/>
  <c r="K409" i="14"/>
  <c r="K373" i="14"/>
  <c r="K345" i="14"/>
  <c r="K330" i="14"/>
  <c r="K392" i="14"/>
  <c r="K360" i="14"/>
  <c r="K420" i="14"/>
  <c r="K398" i="14"/>
  <c r="K436" i="14"/>
  <c r="K424" i="14"/>
  <c r="K372" i="14"/>
  <c r="K407" i="14"/>
  <c r="K434" i="14"/>
  <c r="K370" i="14"/>
  <c r="K418" i="14"/>
  <c r="K402" i="14"/>
  <c r="K354" i="14"/>
  <c r="K338" i="14"/>
  <c r="K321" i="14"/>
  <c r="K331" i="14"/>
  <c r="K433" i="14"/>
  <c r="K347" i="14"/>
  <c r="K423" i="14"/>
  <c r="K404" i="14"/>
  <c r="K356" i="14"/>
  <c r="K437" i="14"/>
  <c r="K399" i="14"/>
  <c r="K419" i="14"/>
  <c r="K5" i="14"/>
  <c r="K369" i="14"/>
  <c r="K406" i="14"/>
  <c r="K350" i="14"/>
  <c r="K322" i="14"/>
  <c r="K411" i="14"/>
  <c r="K355" i="14"/>
  <c r="K379" i="14"/>
  <c r="K430" i="14"/>
  <c r="K319" i="14"/>
  <c r="K387" i="14"/>
  <c r="K366" i="14"/>
  <c r="K405" i="14"/>
  <c r="K349" i="14"/>
  <c r="K318" i="14"/>
  <c r="K367" i="14"/>
  <c r="K391" i="14"/>
  <c r="K425" i="14"/>
  <c r="K380" i="14"/>
  <c r="K416" i="14"/>
  <c r="K365" i="14"/>
  <c r="K401" i="14"/>
  <c r="K342" i="14"/>
  <c r="K324" i="14"/>
  <c r="K375" i="14"/>
  <c r="K384" i="14"/>
  <c r="K397" i="14"/>
  <c r="K363" i="14"/>
  <c r="K376" i="14"/>
  <c r="K421" i="14"/>
  <c r="K378" i="14"/>
  <c r="K334" i="14"/>
  <c r="K412" i="14"/>
  <c r="K427" i="14"/>
  <c r="K389" i="14"/>
  <c r="K343" i="14"/>
  <c r="K435" i="14"/>
  <c r="K438" i="14"/>
  <c r="K385" i="14"/>
  <c r="K357" i="14"/>
  <c r="K440" i="14"/>
  <c r="K368" i="14"/>
  <c r="K344" i="14"/>
  <c r="K382" i="14"/>
  <c r="K353" i="14"/>
  <c r="K383" i="14"/>
  <c r="K390" i="14"/>
  <c r="K316" i="14"/>
  <c r="K422" i="14"/>
  <c r="K341" i="14"/>
  <c r="K394" i="14"/>
  <c r="K335" i="14"/>
  <c r="K395" i="14"/>
  <c r="K417" i="14"/>
  <c r="K377" i="14"/>
  <c r="K426" i="14"/>
  <c r="K340" i="14"/>
  <c r="K403" i="14"/>
  <c r="K414" i="14"/>
  <c r="K374" i="14"/>
  <c r="K327" i="14"/>
  <c r="K348" i="14"/>
  <c r="K432" i="14"/>
  <c r="K413" i="14"/>
  <c r="K381" i="14"/>
  <c r="K393" i="14"/>
  <c r="K439" i="14"/>
  <c r="K388" i="14"/>
  <c r="K339" i="14"/>
  <c r="K359" i="14"/>
  <c r="K415" i="14"/>
  <c r="K336" i="14"/>
  <c r="K396" i="14"/>
  <c r="K358" i="14"/>
  <c r="K325" i="14"/>
  <c r="K431" i="14"/>
  <c r="K429" i="14"/>
  <c r="K329" i="14"/>
  <c r="K337" i="14"/>
  <c r="K320" i="14"/>
  <c r="K326" i="14"/>
  <c r="K323" i="14"/>
  <c r="K64" i="14" s="1"/>
  <c r="K332" i="14"/>
  <c r="K317" i="14"/>
  <c r="L111" i="14"/>
  <c r="L89" i="14"/>
  <c r="O89" i="14" s="1"/>
  <c r="L183" i="14"/>
  <c r="L184" i="14" s="1"/>
  <c r="L88" i="14"/>
  <c r="O88" i="14" s="1"/>
  <c r="L90" i="14"/>
  <c r="O90" i="14" s="1"/>
  <c r="J69" i="8"/>
  <c r="J74" i="8"/>
  <c r="J56" i="14"/>
  <c r="J60" i="14" s="1"/>
  <c r="AD145" i="33"/>
  <c r="D145" i="33" s="1"/>
  <c r="Q93" i="33"/>
  <c r="D93" i="33" s="1"/>
  <c r="Q104" i="33"/>
  <c r="D104" i="33" s="1"/>
  <c r="Q101" i="33"/>
  <c r="D101" i="33" s="1"/>
  <c r="Q121" i="33"/>
  <c r="D121" i="33" s="1"/>
  <c r="Q99" i="33"/>
  <c r="D99" i="33" s="1"/>
  <c r="Q147" i="33"/>
  <c r="D147" i="33" s="1"/>
  <c r="Q97" i="33"/>
  <c r="D97" i="33" s="1"/>
  <c r="Q95" i="33"/>
  <c r="D95" i="33" s="1"/>
  <c r="Q96" i="33"/>
  <c r="D96" i="33" s="1"/>
  <c r="AG105" i="33"/>
  <c r="AQ16" i="12"/>
  <c r="E39" i="28"/>
  <c r="AQ21" i="12" s="1"/>
  <c r="D54" i="21" s="1"/>
  <c r="D45" i="21" s="1"/>
  <c r="BQ16" i="12"/>
  <c r="F34" i="28"/>
  <c r="AR12" i="12"/>
  <c r="BD16" i="12"/>
  <c r="BS16" i="12"/>
  <c r="BT16" i="12"/>
  <c r="H34" i="29"/>
  <c r="BG12" i="12"/>
  <c r="BU16" i="12"/>
  <c r="E34" i="26"/>
  <c r="Q12" i="12"/>
  <c r="D12" i="12" s="1"/>
  <c r="Q12" i="33" s="1"/>
  <c r="BF16" i="12"/>
  <c r="BR16" i="12"/>
  <c r="BE16" i="12"/>
  <c r="AG33" i="33"/>
  <c r="AG34" i="33"/>
  <c r="AG60" i="33"/>
  <c r="AK80" i="33"/>
  <c r="AI141" i="33"/>
  <c r="AG35" i="33"/>
  <c r="AG61" i="33"/>
  <c r="AG59" i="33"/>
  <c r="J209" i="26"/>
  <c r="AR65" i="12"/>
  <c r="I34" i="29"/>
  <c r="K5" i="26"/>
  <c r="K209" i="26" s="1"/>
  <c r="J217" i="26"/>
  <c r="J212" i="26"/>
  <c r="Q107" i="12"/>
  <c r="Q111" i="12"/>
  <c r="E34" i="27"/>
  <c r="J215" i="26"/>
  <c r="J216" i="26"/>
  <c r="J211" i="26"/>
  <c r="J214" i="26"/>
  <c r="BG94" i="12"/>
  <c r="J34" i="30"/>
  <c r="L203" i="32"/>
  <c r="M99" i="32"/>
  <c r="Q112" i="12"/>
  <c r="AD111" i="12"/>
  <c r="AE85" i="12"/>
  <c r="L101" i="32"/>
  <c r="AK82" i="33" s="1"/>
  <c r="G34" i="28"/>
  <c r="I78" i="32"/>
  <c r="I79" i="32"/>
  <c r="I28" i="32"/>
  <c r="I141" i="32"/>
  <c r="AH121" i="33" s="1"/>
  <c r="I115" i="32"/>
  <c r="AH95" i="33" s="1"/>
  <c r="I120" i="32"/>
  <c r="AH100" i="33" s="1"/>
  <c r="I122" i="32"/>
  <c r="AH102" i="33" s="1"/>
  <c r="I124" i="32"/>
  <c r="AH104" i="33" s="1"/>
  <c r="I123" i="32"/>
  <c r="AH103" i="33" s="1"/>
  <c r="I121" i="32"/>
  <c r="AH101" i="33" s="1"/>
  <c r="I134" i="32"/>
  <c r="AH114" i="33" s="1"/>
  <c r="AH63" i="33"/>
  <c r="I109" i="32"/>
  <c r="AH89" i="33" s="1"/>
  <c r="BH127" i="12"/>
  <c r="BW104" i="12"/>
  <c r="BW122" i="12"/>
  <c r="BW126" i="12"/>
  <c r="BW95" i="12"/>
  <c r="BW90" i="12"/>
  <c r="BE33" i="12"/>
  <c r="BE34" i="12"/>
  <c r="Q35" i="12"/>
  <c r="Q143" i="12"/>
  <c r="Q137" i="12"/>
  <c r="Q34" i="12"/>
  <c r="Q33" i="12"/>
  <c r="Q142" i="12"/>
  <c r="Q136" i="12"/>
  <c r="AD142" i="12"/>
  <c r="AD137" i="12"/>
  <c r="AD33" i="12"/>
  <c r="AD35" i="12"/>
  <c r="AD136" i="12"/>
  <c r="AD143" i="12"/>
  <c r="AD79" i="12"/>
  <c r="AD34" i="12"/>
  <c r="I140" i="32"/>
  <c r="AH120" i="33" s="1"/>
  <c r="E133" i="32"/>
  <c r="AD113" i="33" s="1"/>
  <c r="R138" i="12"/>
  <c r="R137" i="12"/>
  <c r="R142" i="12"/>
  <c r="R33" i="12"/>
  <c r="AE33" i="12"/>
  <c r="BV128" i="12"/>
  <c r="BV126" i="12"/>
  <c r="BV95" i="12"/>
  <c r="BV98" i="12"/>
  <c r="BH65" i="12"/>
  <c r="AE143" i="12"/>
  <c r="L61" i="32"/>
  <c r="AK42" i="33" s="1"/>
  <c r="M6" i="32"/>
  <c r="AE34" i="12"/>
  <c r="BG122" i="12"/>
  <c r="BG95" i="12"/>
  <c r="BG98" i="12"/>
  <c r="BG115" i="12"/>
  <c r="H126" i="32"/>
  <c r="I80" i="32"/>
  <c r="G185" i="27"/>
  <c r="G95" i="27" s="1"/>
  <c r="L185" i="30"/>
  <c r="L95" i="30" s="1"/>
  <c r="BW5" i="12"/>
  <c r="BI5" i="12"/>
  <c r="H96" i="32"/>
  <c r="AG77" i="33" s="1"/>
  <c r="BW127" i="12"/>
  <c r="BW117" i="12"/>
  <c r="BR34" i="12"/>
  <c r="BR33" i="12"/>
  <c r="AR143" i="12"/>
  <c r="AR33" i="12"/>
  <c r="AR34" i="12"/>
  <c r="AR138" i="12"/>
  <c r="AR142" i="12"/>
  <c r="AR137" i="12"/>
  <c r="AR35" i="12"/>
  <c r="AQ142" i="12"/>
  <c r="AQ35" i="12"/>
  <c r="AQ34" i="12"/>
  <c r="AQ33" i="12"/>
  <c r="AQ137" i="12"/>
  <c r="AQ143" i="12"/>
  <c r="AQ136" i="12"/>
  <c r="I139" i="32"/>
  <c r="AH119" i="33" s="1"/>
  <c r="R141" i="12"/>
  <c r="R143" i="12"/>
  <c r="R34" i="12"/>
  <c r="R35" i="12"/>
  <c r="AE35" i="12"/>
  <c r="AE137" i="12"/>
  <c r="AE142" i="12"/>
  <c r="AE138" i="12"/>
  <c r="BV125" i="12"/>
  <c r="BV122" i="12"/>
  <c r="H118" i="32"/>
  <c r="AG98" i="33" s="1"/>
  <c r="Q125" i="12"/>
  <c r="Q118" i="12"/>
  <c r="Q98" i="12"/>
  <c r="D98" i="12" s="1"/>
  <c r="Q128" i="12"/>
  <c r="J164" i="32"/>
  <c r="AI144" i="33" s="1"/>
  <c r="F60" i="27"/>
  <c r="AE41" i="12" s="1"/>
  <c r="AE23" i="12"/>
  <c r="F61" i="26"/>
  <c r="R42" i="12" s="1"/>
  <c r="R24" i="12"/>
  <c r="H218" i="29"/>
  <c r="G185" i="26"/>
  <c r="E173" i="32"/>
  <c r="AD153" i="33" s="1"/>
  <c r="E114" i="32"/>
  <c r="AD94" i="33" s="1"/>
  <c r="AV171" i="12"/>
  <c r="T171" i="33"/>
  <c r="G64" i="32"/>
  <c r="AF45" i="33" s="1"/>
  <c r="I52" i="32"/>
  <c r="I54" i="32"/>
  <c r="I53" i="32"/>
  <c r="I25" i="21"/>
  <c r="AT125" i="12"/>
  <c r="R134" i="12"/>
  <c r="R63" i="12"/>
  <c r="AE66" i="12"/>
  <c r="AE132" i="12"/>
  <c r="AE32" i="12"/>
  <c r="AE129" i="12"/>
  <c r="AE83" i="12"/>
  <c r="AE86" i="12"/>
  <c r="AR85" i="12"/>
  <c r="AE134" i="12"/>
  <c r="AE78" i="12"/>
  <c r="AE148" i="12"/>
  <c r="AE149" i="12"/>
  <c r="AE133" i="12"/>
  <c r="AE100" i="12"/>
  <c r="AE89" i="12"/>
  <c r="AE74" i="12"/>
  <c r="AE105" i="12"/>
  <c r="AE81" i="12"/>
  <c r="AR89" i="12"/>
  <c r="AR148" i="12"/>
  <c r="AE59" i="12"/>
  <c r="AE150" i="12"/>
  <c r="AE152" i="12"/>
  <c r="AE136" i="12"/>
  <c r="AE151" i="12"/>
  <c r="AE139" i="12"/>
  <c r="AE135" i="12"/>
  <c r="AE131" i="12"/>
  <c r="AE120" i="12"/>
  <c r="AE80" i="12"/>
  <c r="AE72" i="12"/>
  <c r="AE130" i="12"/>
  <c r="AE119" i="12"/>
  <c r="AE114" i="12"/>
  <c r="AE103" i="12"/>
  <c r="AE84" i="12"/>
  <c r="AE79" i="12"/>
  <c r="AE60" i="12"/>
  <c r="AR132" i="12"/>
  <c r="AR131" i="12"/>
  <c r="AE118" i="12"/>
  <c r="AE61" i="12"/>
  <c r="AE26" i="12"/>
  <c r="AE75" i="12"/>
  <c r="AE63" i="12"/>
  <c r="AR75" i="12"/>
  <c r="AR129" i="12"/>
  <c r="AR119" i="12"/>
  <c r="AQ135" i="12"/>
  <c r="AQ114" i="12"/>
  <c r="AQ109" i="12"/>
  <c r="AQ132" i="12"/>
  <c r="AQ120" i="12"/>
  <c r="AQ108" i="12"/>
  <c r="AQ85" i="12"/>
  <c r="AQ151" i="12"/>
  <c r="AQ138" i="12"/>
  <c r="AQ130" i="12"/>
  <c r="AQ110" i="12"/>
  <c r="AQ83" i="12"/>
  <c r="AQ23" i="12"/>
  <c r="AQ29" i="12"/>
  <c r="AQ150" i="12"/>
  <c r="AQ133" i="12"/>
  <c r="AQ129" i="12"/>
  <c r="AQ111" i="12"/>
  <c r="AQ107" i="12"/>
  <c r="AQ102" i="12"/>
  <c r="AQ89" i="12"/>
  <c r="AQ84" i="12"/>
  <c r="AQ79" i="12"/>
  <c r="AQ149" i="12"/>
  <c r="AQ103" i="12"/>
  <c r="AQ80" i="12"/>
  <c r="AQ134" i="12"/>
  <c r="AQ105" i="12"/>
  <c r="AQ100" i="12"/>
  <c r="AQ87" i="12"/>
  <c r="AQ78" i="12"/>
  <c r="AQ26" i="12"/>
  <c r="AQ60" i="12"/>
  <c r="AQ74" i="12"/>
  <c r="AQ61" i="12"/>
  <c r="AQ66" i="12"/>
  <c r="AQ75" i="12"/>
  <c r="AQ152" i="12"/>
  <c r="AQ139" i="12"/>
  <c r="AQ131" i="12"/>
  <c r="AQ112" i="12"/>
  <c r="AQ119" i="12"/>
  <c r="AQ81" i="12"/>
  <c r="AQ63" i="12"/>
  <c r="AQ59" i="12"/>
  <c r="AQ64" i="12"/>
  <c r="AQ72" i="12"/>
  <c r="R81" i="12"/>
  <c r="R133" i="12"/>
  <c r="R85" i="12"/>
  <c r="R60" i="12"/>
  <c r="Q114" i="12"/>
  <c r="Q78" i="12"/>
  <c r="Q74" i="12"/>
  <c r="Q120" i="12"/>
  <c r="Q85" i="12"/>
  <c r="Q86" i="12"/>
  <c r="Q27" i="12"/>
  <c r="Q26" i="12"/>
  <c r="Q29" i="12"/>
  <c r="Q83" i="12"/>
  <c r="Q63" i="12"/>
  <c r="Q30" i="12"/>
  <c r="Q24" i="12"/>
  <c r="Q84" i="12"/>
  <c r="Q100" i="12"/>
  <c r="Q119" i="12"/>
  <c r="Q89" i="12"/>
  <c r="Q66" i="12"/>
  <c r="Q32" i="12"/>
  <c r="Q23" i="12"/>
  <c r="Q129" i="12"/>
  <c r="Q148" i="12"/>
  <c r="AD151" i="12"/>
  <c r="AD74" i="12"/>
  <c r="AD75" i="12"/>
  <c r="AD61" i="12"/>
  <c r="AD133" i="12"/>
  <c r="AD89" i="12"/>
  <c r="AD131" i="12"/>
  <c r="AD152" i="12"/>
  <c r="AD85" i="12"/>
  <c r="AD105" i="12"/>
  <c r="AD63" i="12"/>
  <c r="AD72" i="12"/>
  <c r="AD129" i="12"/>
  <c r="AD150" i="12"/>
  <c r="AD119" i="12"/>
  <c r="AD148" i="12"/>
  <c r="AD83" i="12"/>
  <c r="AD100" i="12"/>
  <c r="AD130" i="12"/>
  <c r="AD138" i="12"/>
  <c r="AD60" i="12"/>
  <c r="AD26" i="12"/>
  <c r="AD86" i="12"/>
  <c r="AD114" i="12"/>
  <c r="AD139" i="12"/>
  <c r="AD149" i="12"/>
  <c r="AD23" i="12"/>
  <c r="AD29" i="12"/>
  <c r="AD135" i="12"/>
  <c r="AD87" i="12"/>
  <c r="AD134" i="12"/>
  <c r="AD80" i="12"/>
  <c r="AD132" i="12"/>
  <c r="AD59" i="12"/>
  <c r="AD81" i="12"/>
  <c r="AD84" i="12"/>
  <c r="AD78" i="12"/>
  <c r="AD103" i="12"/>
  <c r="AD120" i="12"/>
  <c r="Q64" i="12"/>
  <c r="AR135" i="12"/>
  <c r="AR133" i="12"/>
  <c r="AR150" i="12"/>
  <c r="AR84" i="12"/>
  <c r="AR114" i="12"/>
  <c r="AR63" i="12"/>
  <c r="AR149" i="12"/>
  <c r="AR151" i="12"/>
  <c r="AR72" i="12"/>
  <c r="AR134" i="12"/>
  <c r="AR83" i="12"/>
  <c r="AR120" i="12"/>
  <c r="AR59" i="12"/>
  <c r="AR86" i="12"/>
  <c r="AR136" i="12"/>
  <c r="AR103" i="12"/>
  <c r="AR61" i="12"/>
  <c r="AR100" i="12"/>
  <c r="AR81" i="12"/>
  <c r="AR139" i="12"/>
  <c r="AR105" i="12"/>
  <c r="AR78" i="12"/>
  <c r="AR152" i="12"/>
  <c r="AR130" i="12"/>
  <c r="AR80" i="12"/>
  <c r="AR87" i="12"/>
  <c r="AR79" i="12"/>
  <c r="AR60" i="12"/>
  <c r="P87" i="15"/>
  <c r="P86" i="15"/>
  <c r="P91" i="15" s="1"/>
  <c r="N91" i="15"/>
  <c r="E38" i="32"/>
  <c r="R132" i="12"/>
  <c r="R103" i="12"/>
  <c r="R84" i="12"/>
  <c r="R150" i="12"/>
  <c r="R129" i="12"/>
  <c r="R120" i="12"/>
  <c r="R114" i="12"/>
  <c r="R100" i="12"/>
  <c r="R80" i="12"/>
  <c r="R72" i="12"/>
  <c r="E18" i="32"/>
  <c r="I152" i="15"/>
  <c r="AD107" i="12"/>
  <c r="AD102" i="12"/>
  <c r="R149" i="12"/>
  <c r="R136" i="12"/>
  <c r="R119" i="12"/>
  <c r="R105" i="12"/>
  <c r="R86" i="12"/>
  <c r="R75" i="12"/>
  <c r="R61" i="12"/>
  <c r="R151" i="12"/>
  <c r="R130" i="12"/>
  <c r="R79" i="12"/>
  <c r="R59" i="12"/>
  <c r="R152" i="12"/>
  <c r="R148" i="12"/>
  <c r="R139" i="12"/>
  <c r="R135" i="12"/>
  <c r="R131" i="12"/>
  <c r="R87" i="12"/>
  <c r="R83" i="12"/>
  <c r="R78" i="12"/>
  <c r="R74" i="12"/>
  <c r="R66" i="12"/>
  <c r="AD64" i="12"/>
  <c r="AD110" i="12"/>
  <c r="E148" i="32"/>
  <c r="AD128" i="33" s="1"/>
  <c r="AD112" i="12"/>
  <c r="E145" i="32"/>
  <c r="AD125" i="33" s="1"/>
  <c r="E138" i="32"/>
  <c r="AD118" i="33" s="1"/>
  <c r="AD109" i="12"/>
  <c r="AD108" i="12"/>
  <c r="AE98" i="12"/>
  <c r="R125" i="12"/>
  <c r="AT128" i="12"/>
  <c r="AT118" i="12"/>
  <c r="R98" i="12"/>
  <c r="R94" i="12"/>
  <c r="S69" i="12"/>
  <c r="S71" i="12"/>
  <c r="S91" i="12"/>
  <c r="S99" i="12"/>
  <c r="S115" i="12"/>
  <c r="S117" i="12"/>
  <c r="S145" i="12"/>
  <c r="S68" i="12"/>
  <c r="S97" i="12"/>
  <c r="S116" i="12"/>
  <c r="S70" i="12"/>
  <c r="S127" i="12"/>
  <c r="S146" i="12"/>
  <c r="AF68" i="12"/>
  <c r="AF91" i="12"/>
  <c r="AF93" i="12"/>
  <c r="AF117" i="12"/>
  <c r="AF124" i="12"/>
  <c r="AF126" i="12"/>
  <c r="AF69" i="12"/>
  <c r="AF95" i="12"/>
  <c r="AF121" i="12"/>
  <c r="AF146" i="12"/>
  <c r="AF92" i="12"/>
  <c r="AF145" i="12"/>
  <c r="AF99" i="12"/>
  <c r="AF147" i="12"/>
  <c r="BX69" i="12"/>
  <c r="BX71" i="12"/>
  <c r="BX145" i="12"/>
  <c r="BX101" i="12"/>
  <c r="BX146" i="12"/>
  <c r="G184" i="27"/>
  <c r="G184" i="29"/>
  <c r="G184" i="26"/>
  <c r="G184" i="32"/>
  <c r="G184" i="28"/>
  <c r="G184" i="30"/>
  <c r="G78" i="30" s="1"/>
  <c r="BL169" i="12"/>
  <c r="BL171" i="12" s="1"/>
  <c r="N6" i="28"/>
  <c r="M7" i="28"/>
  <c r="N6" i="30"/>
  <c r="N6" i="27"/>
  <c r="M7" i="27"/>
  <c r="I218" i="30"/>
  <c r="J11" i="29"/>
  <c r="J113" i="29" s="1"/>
  <c r="BI93" i="12" s="1"/>
  <c r="J9" i="28"/>
  <c r="L11" i="30"/>
  <c r="F34" i="27"/>
  <c r="AE8" i="12"/>
  <c r="AE7" i="12"/>
  <c r="L17" i="30"/>
  <c r="L23" i="30" s="1"/>
  <c r="L83" i="30" s="1"/>
  <c r="L35" i="32" s="1"/>
  <c r="I210" i="27"/>
  <c r="I46" i="27" s="1"/>
  <c r="I211" i="27"/>
  <c r="I213" i="27"/>
  <c r="I212" i="27"/>
  <c r="I209" i="27"/>
  <c r="I43" i="27" s="1"/>
  <c r="I215" i="27"/>
  <c r="I217" i="27"/>
  <c r="I216" i="27"/>
  <c r="I214" i="27"/>
  <c r="N194" i="32"/>
  <c r="N189" i="26"/>
  <c r="M203" i="26"/>
  <c r="N193" i="26"/>
  <c r="M189" i="32"/>
  <c r="M98" i="32" s="1"/>
  <c r="AL79" i="33" s="1"/>
  <c r="I213" i="32"/>
  <c r="I216" i="32"/>
  <c r="I214" i="32"/>
  <c r="I211" i="32"/>
  <c r="I215" i="32"/>
  <c r="I209" i="32"/>
  <c r="I212" i="32"/>
  <c r="I217" i="32"/>
  <c r="I210" i="32"/>
  <c r="J5" i="32"/>
  <c r="AE9" i="12"/>
  <c r="F18" i="27"/>
  <c r="L197" i="26"/>
  <c r="L204" i="26" s="1"/>
  <c r="I214" i="28"/>
  <c r="I216" i="28"/>
  <c r="I209" i="28"/>
  <c r="I211" i="28"/>
  <c r="I217" i="28"/>
  <c r="I210" i="28"/>
  <c r="I46" i="28" s="1"/>
  <c r="I212" i="28"/>
  <c r="I215" i="28"/>
  <c r="I213" i="28"/>
  <c r="M195" i="26"/>
  <c r="N190" i="32"/>
  <c r="I213" i="29"/>
  <c r="I212" i="29"/>
  <c r="I210" i="29"/>
  <c r="I46" i="29" s="1"/>
  <c r="I47" i="29" s="1"/>
  <c r="I214" i="29"/>
  <c r="I209" i="29"/>
  <c r="I42" i="29" s="1"/>
  <c r="I44" i="29" s="1"/>
  <c r="I215" i="29"/>
  <c r="I216" i="29"/>
  <c r="I211" i="29"/>
  <c r="I48" i="29" s="1"/>
  <c r="I50" i="29" s="1"/>
  <c r="I217" i="29"/>
  <c r="J5" i="29"/>
  <c r="O196" i="29"/>
  <c r="J213" i="30"/>
  <c r="J212" i="30"/>
  <c r="J210" i="30"/>
  <c r="J46" i="30" s="1"/>
  <c r="J47" i="30" s="1"/>
  <c r="J214" i="30"/>
  <c r="J216" i="30"/>
  <c r="J211" i="30"/>
  <c r="J48" i="30" s="1"/>
  <c r="J50" i="30" s="1"/>
  <c r="J217" i="30"/>
  <c r="J209" i="30"/>
  <c r="J42" i="30" s="1"/>
  <c r="J44" i="30" s="1"/>
  <c r="J215" i="30"/>
  <c r="K5" i="30"/>
  <c r="H218" i="27"/>
  <c r="AW169" i="12"/>
  <c r="J28" i="21" s="1"/>
  <c r="K205" i="28"/>
  <c r="K40" i="4" s="1"/>
  <c r="P188" i="29"/>
  <c r="P50" i="4" s="1"/>
  <c r="O199" i="29"/>
  <c r="O200" i="29" s="1"/>
  <c r="M205" i="29"/>
  <c r="M51" i="4" s="1"/>
  <c r="N204" i="29"/>
  <c r="BM169" i="12" s="1"/>
  <c r="BM168" i="12"/>
  <c r="BW8" i="12"/>
  <c r="F182" i="32"/>
  <c r="F113" i="32" s="1"/>
  <c r="AE93" i="33" s="1"/>
  <c r="P195" i="29"/>
  <c r="P191" i="29"/>
  <c r="O202" i="29"/>
  <c r="M8" i="29"/>
  <c r="L9" i="29"/>
  <c r="O203" i="29"/>
  <c r="O197" i="29"/>
  <c r="P193" i="29"/>
  <c r="BM170" i="12"/>
  <c r="M6" i="29"/>
  <c r="L7" i="29"/>
  <c r="M10" i="29"/>
  <c r="BZ171" i="12"/>
  <c r="L9" i="30"/>
  <c r="L79" i="30" s="1"/>
  <c r="M8" i="30"/>
  <c r="P199" i="30"/>
  <c r="P200" i="30" s="1"/>
  <c r="P197" i="30"/>
  <c r="N4" i="30"/>
  <c r="P10" i="30"/>
  <c r="CA168" i="12"/>
  <c r="N8" i="28"/>
  <c r="O199" i="28"/>
  <c r="O200" i="28" s="1"/>
  <c r="H218" i="28"/>
  <c r="G24" i="21"/>
  <c r="G33" i="21" s="1"/>
  <c r="O4" i="28"/>
  <c r="O190" i="28"/>
  <c r="N195" i="28"/>
  <c r="N193" i="28"/>
  <c r="K11" i="28"/>
  <c r="L10" i="28"/>
  <c r="N196" i="28"/>
  <c r="N192" i="28"/>
  <c r="N191" i="28"/>
  <c r="M202" i="28"/>
  <c r="AX170" i="12"/>
  <c r="L204" i="28"/>
  <c r="M203" i="28"/>
  <c r="M197" i="28"/>
  <c r="AZ168" i="12"/>
  <c r="N194" i="28"/>
  <c r="J5" i="28"/>
  <c r="M191" i="27"/>
  <c r="L202" i="27"/>
  <c r="AK170" i="12" s="1"/>
  <c r="K204" i="27"/>
  <c r="M196" i="27"/>
  <c r="M194" i="27"/>
  <c r="M192" i="27"/>
  <c r="N4" i="27"/>
  <c r="K9" i="27"/>
  <c r="L8" i="27"/>
  <c r="O203" i="27"/>
  <c r="P189" i="27"/>
  <c r="P28" i="4" s="1"/>
  <c r="H27" i="21"/>
  <c r="H24" i="21" s="1"/>
  <c r="AH171" i="12"/>
  <c r="H171" i="12" s="1"/>
  <c r="M193" i="27"/>
  <c r="AK168" i="12"/>
  <c r="L197" i="27"/>
  <c r="M10" i="27"/>
  <c r="L11" i="27"/>
  <c r="M195" i="27"/>
  <c r="J5" i="27"/>
  <c r="AI169" i="12"/>
  <c r="I169" i="12" s="1"/>
  <c r="O190" i="27"/>
  <c r="M199" i="27"/>
  <c r="M200" i="27" s="1"/>
  <c r="N188" i="27"/>
  <c r="N28" i="4" s="1"/>
  <c r="J11" i="32"/>
  <c r="W169" i="12"/>
  <c r="M202" i="26"/>
  <c r="Y170" i="12" s="1"/>
  <c r="N191" i="26"/>
  <c r="K205" i="26"/>
  <c r="K18" i="4" s="1"/>
  <c r="N192" i="26"/>
  <c r="M194" i="26"/>
  <c r="L9" i="26"/>
  <c r="M8" i="26"/>
  <c r="N190" i="26"/>
  <c r="M196" i="26"/>
  <c r="N6" i="26"/>
  <c r="M7" i="26"/>
  <c r="M4" i="26"/>
  <c r="L10" i="26"/>
  <c r="K11" i="26"/>
  <c r="X168" i="12"/>
  <c r="K168" i="12" s="1"/>
  <c r="N188" i="26"/>
  <c r="M199" i="26"/>
  <c r="M200" i="26" s="1"/>
  <c r="M4" i="32"/>
  <c r="P8" i="32"/>
  <c r="N188" i="32"/>
  <c r="N191" i="32"/>
  <c r="AH171" i="33"/>
  <c r="J9" i="32"/>
  <c r="L7" i="32"/>
  <c r="M196" i="32"/>
  <c r="M197" i="32" s="1"/>
  <c r="P192" i="32"/>
  <c r="K18" i="30"/>
  <c r="K33" i="30" s="1"/>
  <c r="BW15" i="12" s="1"/>
  <c r="H7" i="4"/>
  <c r="H8" i="4" s="1"/>
  <c r="H184" i="34" s="1"/>
  <c r="P241" i="8"/>
  <c r="P240" i="8"/>
  <c r="H180" i="32"/>
  <c r="O236" i="8"/>
  <c r="I12" i="4"/>
  <c r="U165" i="12" s="1"/>
  <c r="I6" i="4"/>
  <c r="O235" i="8"/>
  <c r="Q245" i="8"/>
  <c r="P202" i="8"/>
  <c r="H163" i="8"/>
  <c r="H169" i="8"/>
  <c r="K68" i="8"/>
  <c r="K75" i="8" s="1"/>
  <c r="G163" i="8"/>
  <c r="G169" i="8"/>
  <c r="O91" i="15"/>
  <c r="Q86" i="15"/>
  <c r="Q91" i="15" s="1"/>
  <c r="Q87" i="15"/>
  <c r="O91" i="14"/>
  <c r="J109" i="8"/>
  <c r="J111" i="8" s="1"/>
  <c r="J168" i="8" s="1"/>
  <c r="J169" i="8" s="1"/>
  <c r="J83" i="8"/>
  <c r="J84" i="8"/>
  <c r="J85" i="8"/>
  <c r="J86" i="8"/>
  <c r="J88" i="8"/>
  <c r="Q246" i="8"/>
  <c r="Q195" i="8"/>
  <c r="Q197" i="8" s="1"/>
  <c r="L20" i="30"/>
  <c r="L19" i="30"/>
  <c r="BI7" i="12"/>
  <c r="BI12" i="12"/>
  <c r="BI8" i="12"/>
  <c r="BI9" i="12"/>
  <c r="J18" i="29"/>
  <c r="J33" i="29" s="1"/>
  <c r="BI15" i="12" s="1"/>
  <c r="M230" i="8"/>
  <c r="L195" i="8"/>
  <c r="L197" i="8" s="1"/>
  <c r="L358" i="8"/>
  <c r="L56" i="8" s="1"/>
  <c r="L60" i="8" s="1"/>
  <c r="K94" i="8"/>
  <c r="K102" i="8"/>
  <c r="K103" i="8"/>
  <c r="K93" i="8"/>
  <c r="K96" i="8"/>
  <c r="K98" i="8"/>
  <c r="K100" i="8"/>
  <c r="K128" i="8"/>
  <c r="K101" i="8"/>
  <c r="K107" i="8"/>
  <c r="K95" i="8"/>
  <c r="K99" i="8"/>
  <c r="K202" i="8"/>
  <c r="K97" i="8"/>
  <c r="K201" i="8"/>
  <c r="J71" i="8"/>
  <c r="J160" i="8"/>
  <c r="J203" i="8"/>
  <c r="O71" i="8"/>
  <c r="O203" i="8"/>
  <c r="AT12" i="12"/>
  <c r="AT7" i="12"/>
  <c r="AT9" i="12"/>
  <c r="H18" i="28"/>
  <c r="M231" i="8"/>
  <c r="L359" i="8"/>
  <c r="G20" i="26"/>
  <c r="G19" i="26"/>
  <c r="G17" i="26"/>
  <c r="G23" i="26" s="1"/>
  <c r="G83" i="26" s="1"/>
  <c r="H16" i="21"/>
  <c r="H17" i="21"/>
  <c r="J11" i="4"/>
  <c r="J12" i="4" s="1"/>
  <c r="V166" i="12"/>
  <c r="G17" i="27"/>
  <c r="G20" i="27"/>
  <c r="G19" i="27"/>
  <c r="H37" i="21"/>
  <c r="AU164" i="12"/>
  <c r="I180" i="28"/>
  <c r="R12" i="12"/>
  <c r="F26" i="26"/>
  <c r="R8" i="12" s="1"/>
  <c r="R7" i="12"/>
  <c r="R5" i="12"/>
  <c r="R9" i="12"/>
  <c r="F18" i="26"/>
  <c r="G35" i="21"/>
  <c r="AH164" i="12"/>
  <c r="I180" i="27"/>
  <c r="J22" i="4"/>
  <c r="J23" i="4" s="1"/>
  <c r="AI166" i="12"/>
  <c r="I18" i="21" s="1"/>
  <c r="R166" i="33"/>
  <c r="E165" i="33"/>
  <c r="E166" i="33" s="1"/>
  <c r="I185" i="32"/>
  <c r="I95" i="32" s="1"/>
  <c r="AH76" i="33" s="1"/>
  <c r="U164" i="12"/>
  <c r="I180" i="26"/>
  <c r="T165" i="12"/>
  <c r="H181" i="26"/>
  <c r="H182" i="26" s="1"/>
  <c r="AG165" i="12"/>
  <c r="H181" i="27"/>
  <c r="H182" i="27" s="1"/>
  <c r="BJ166" i="12"/>
  <c r="J20" i="21" s="1"/>
  <c r="I34" i="4"/>
  <c r="J33" i="4"/>
  <c r="J34" i="4" s="1"/>
  <c r="AV166" i="12"/>
  <c r="I19" i="21" s="1"/>
  <c r="G180" i="32"/>
  <c r="S164" i="33"/>
  <c r="F164" i="33" s="1"/>
  <c r="I23" i="4"/>
  <c r="I218" i="26"/>
  <c r="AT8" i="12" l="1"/>
  <c r="K126" i="30"/>
  <c r="O205" i="30"/>
  <c r="O62" i="4" s="1"/>
  <c r="L140" i="30"/>
  <c r="L113" i="30"/>
  <c r="BX93" i="12" s="1"/>
  <c r="N30" i="21"/>
  <c r="H55" i="28"/>
  <c r="H45" i="27"/>
  <c r="H47" i="27" s="1"/>
  <c r="H136" i="27"/>
  <c r="H42" i="27"/>
  <c r="H44" i="27" s="1"/>
  <c r="H48" i="27"/>
  <c r="H50" i="27" s="1"/>
  <c r="H137" i="27"/>
  <c r="H113" i="27"/>
  <c r="AG93" i="12" s="1"/>
  <c r="G26" i="27"/>
  <c r="G29" i="27" s="1"/>
  <c r="G23" i="27"/>
  <c r="G83" i="27" s="1"/>
  <c r="K215" i="26"/>
  <c r="H45" i="26"/>
  <c r="H47" i="26" s="1"/>
  <c r="H42" i="26"/>
  <c r="H44" i="26" s="1"/>
  <c r="H48" i="26"/>
  <c r="H50" i="26" s="1"/>
  <c r="H113" i="26"/>
  <c r="T93" i="12" s="1"/>
  <c r="N17" i="4"/>
  <c r="K211" i="26"/>
  <c r="K205" i="32"/>
  <c r="E93" i="33"/>
  <c r="J125" i="32"/>
  <c r="I46" i="32"/>
  <c r="H67" i="32"/>
  <c r="AG48" i="33" s="1"/>
  <c r="I49" i="32"/>
  <c r="AH30" i="33" s="1"/>
  <c r="D6" i="12"/>
  <c r="E23" i="32" s="1"/>
  <c r="E83" i="32" s="1"/>
  <c r="AD64" i="33" s="1"/>
  <c r="L84" i="30"/>
  <c r="F42" i="32"/>
  <c r="F45" i="32"/>
  <c r="F48" i="32"/>
  <c r="AD47" i="33"/>
  <c r="E73" i="32"/>
  <c r="AD54" i="33" s="1"/>
  <c r="E76" i="32"/>
  <c r="AD57" i="33" s="1"/>
  <c r="AD28" i="33"/>
  <c r="E70" i="32"/>
  <c r="AD51" i="33" s="1"/>
  <c r="E57" i="32"/>
  <c r="AD38" i="33" s="1"/>
  <c r="AD44" i="33"/>
  <c r="E65" i="32"/>
  <c r="AD46" i="33" s="1"/>
  <c r="AD41" i="33"/>
  <c r="E62" i="32"/>
  <c r="AD43" i="33" s="1"/>
  <c r="AD31" i="33"/>
  <c r="E55" i="32"/>
  <c r="AD36" i="33" s="1"/>
  <c r="E77" i="32"/>
  <c r="AD58" i="33" s="1"/>
  <c r="E74" i="32"/>
  <c r="AD55" i="33" s="1"/>
  <c r="E71" i="32"/>
  <c r="AD52" i="33" s="1"/>
  <c r="E58" i="32"/>
  <c r="AD39" i="33" s="1"/>
  <c r="AD25" i="33"/>
  <c r="E72" i="32"/>
  <c r="AD53" i="33" s="1"/>
  <c r="E75" i="32"/>
  <c r="AD56" i="33" s="1"/>
  <c r="E69" i="32"/>
  <c r="AD50" i="33" s="1"/>
  <c r="E56" i="32"/>
  <c r="AD37" i="33" s="1"/>
  <c r="J24" i="34"/>
  <c r="CI6" i="12" s="1"/>
  <c r="J83" i="34"/>
  <c r="H84" i="28"/>
  <c r="AT65" i="12" s="1"/>
  <c r="H24" i="28"/>
  <c r="J84" i="29"/>
  <c r="BI65" i="12" s="1"/>
  <c r="J24" i="29"/>
  <c r="BI6" i="12" s="1"/>
  <c r="F84" i="26"/>
  <c r="R65" i="12" s="1"/>
  <c r="F24" i="26"/>
  <c r="R6" i="12" s="1"/>
  <c r="D5" i="12"/>
  <c r="Q5" i="33" s="1"/>
  <c r="F84" i="27"/>
  <c r="AE65" i="12" s="1"/>
  <c r="F24" i="27"/>
  <c r="AE6" i="12" s="1"/>
  <c r="K24" i="30"/>
  <c r="J137" i="29"/>
  <c r="BI117" i="12" s="1"/>
  <c r="J136" i="29"/>
  <c r="BI116" i="12" s="1"/>
  <c r="H137" i="26"/>
  <c r="T117" i="12" s="1"/>
  <c r="H136" i="26"/>
  <c r="T116" i="12" s="1"/>
  <c r="G108" i="26"/>
  <c r="L151" i="15"/>
  <c r="I133" i="29"/>
  <c r="I138" i="29"/>
  <c r="BH118" i="12" s="1"/>
  <c r="I148" i="29"/>
  <c r="BH128" i="12" s="1"/>
  <c r="I114" i="29"/>
  <c r="O92" i="15"/>
  <c r="O94" i="15" s="1"/>
  <c r="BQ59" i="12"/>
  <c r="L127" i="30"/>
  <c r="L141" i="30"/>
  <c r="BX121" i="12" s="1"/>
  <c r="K114" i="30"/>
  <c r="K133" i="30"/>
  <c r="K145" i="30"/>
  <c r="L136" i="30"/>
  <c r="J96" i="30"/>
  <c r="L80" i="30"/>
  <c r="L125" i="30"/>
  <c r="L28" i="30" s="1"/>
  <c r="L135" i="30"/>
  <c r="BX115" i="12" s="1"/>
  <c r="K94" i="30"/>
  <c r="K93" i="30"/>
  <c r="K86" i="30"/>
  <c r="K92" i="30" s="1"/>
  <c r="J51" i="30"/>
  <c r="J55" i="30" s="1"/>
  <c r="L122" i="30"/>
  <c r="L130" i="30"/>
  <c r="L143" i="30"/>
  <c r="L131" i="30"/>
  <c r="L129" i="30"/>
  <c r="BV67" i="12"/>
  <c r="L124" i="30"/>
  <c r="L128" i="30"/>
  <c r="L147" i="30"/>
  <c r="L111" i="30"/>
  <c r="BX91" i="12" s="1"/>
  <c r="L146" i="30"/>
  <c r="K138" i="30"/>
  <c r="BW118" i="12" s="1"/>
  <c r="BW123" i="12"/>
  <c r="L132" i="30"/>
  <c r="L139" i="30"/>
  <c r="L110" i="30"/>
  <c r="L142" i="30"/>
  <c r="L144" i="30"/>
  <c r="L115" i="30"/>
  <c r="L118" i="30" s="1"/>
  <c r="L112" i="30"/>
  <c r="BX92" i="12" s="1"/>
  <c r="L137" i="30"/>
  <c r="BX117" i="12" s="1"/>
  <c r="I145" i="29"/>
  <c r="BH125" i="12" s="1"/>
  <c r="J86" i="29"/>
  <c r="J92" i="29" s="1"/>
  <c r="J93" i="29"/>
  <c r="J94" i="29"/>
  <c r="I51" i="29"/>
  <c r="I55" i="29" s="1"/>
  <c r="I96" i="29"/>
  <c r="BH67" i="12"/>
  <c r="J111" i="29"/>
  <c r="J135" i="29"/>
  <c r="J129" i="29"/>
  <c r="J122" i="29"/>
  <c r="J125" i="29"/>
  <c r="J28" i="29" s="1"/>
  <c r="J29" i="29" s="1"/>
  <c r="J130" i="29"/>
  <c r="J132" i="29"/>
  <c r="J112" i="29"/>
  <c r="BI92" i="12" s="1"/>
  <c r="J140" i="29"/>
  <c r="J142" i="29"/>
  <c r="J127" i="29"/>
  <c r="J139" i="29"/>
  <c r="J147" i="29"/>
  <c r="BI127" i="12" s="1"/>
  <c r="J110" i="29"/>
  <c r="J143" i="29"/>
  <c r="BI123" i="12" s="1"/>
  <c r="J144" i="29"/>
  <c r="J141" i="29"/>
  <c r="BI121" i="12" s="1"/>
  <c r="J146" i="29"/>
  <c r="J128" i="29"/>
  <c r="J131" i="29"/>
  <c r="J124" i="29"/>
  <c r="BI104" i="12" s="1"/>
  <c r="J115" i="29"/>
  <c r="J118" i="29" s="1"/>
  <c r="I126" i="29"/>
  <c r="S23" i="12"/>
  <c r="R76" i="12"/>
  <c r="E76" i="12" s="1"/>
  <c r="R76" i="33" s="1"/>
  <c r="E76" i="33" s="1"/>
  <c r="G148" i="26"/>
  <c r="H125" i="26"/>
  <c r="H28" i="26" s="1"/>
  <c r="G160" i="26"/>
  <c r="AD12" i="33"/>
  <c r="E34" i="32"/>
  <c r="L30" i="30"/>
  <c r="BX12" i="12" s="1"/>
  <c r="L26" i="30"/>
  <c r="BX8" i="12" s="1"/>
  <c r="L27" i="30"/>
  <c r="BX9" i="12" s="1"/>
  <c r="L25" i="30"/>
  <c r="BX7" i="12" s="1"/>
  <c r="K29" i="30"/>
  <c r="L108" i="30"/>
  <c r="K170" i="12"/>
  <c r="X170" i="33" s="1"/>
  <c r="K170" i="33" s="1"/>
  <c r="AT5" i="12"/>
  <c r="J84" i="34"/>
  <c r="CI65" i="12" s="1"/>
  <c r="CI5" i="12"/>
  <c r="K8" i="11"/>
  <c r="L23" i="15"/>
  <c r="L25" i="15" s="1"/>
  <c r="K53" i="15"/>
  <c r="K145" i="15"/>
  <c r="J152" i="15"/>
  <c r="L19" i="11"/>
  <c r="M29" i="15"/>
  <c r="M29" i="14"/>
  <c r="M29" i="8"/>
  <c r="G145" i="27"/>
  <c r="AF125" i="12" s="1"/>
  <c r="G133" i="27"/>
  <c r="G160" i="27"/>
  <c r="G96" i="27"/>
  <c r="AF76" i="12"/>
  <c r="G118" i="26"/>
  <c r="S98" i="12" s="1"/>
  <c r="G114" i="26"/>
  <c r="S94" i="12" s="1"/>
  <c r="AE5" i="12"/>
  <c r="E5" i="12" s="1"/>
  <c r="E75" i="12"/>
  <c r="R75" i="33" s="1"/>
  <c r="E75" i="33" s="1"/>
  <c r="G101" i="27"/>
  <c r="G148" i="27"/>
  <c r="AF128" i="12" s="1"/>
  <c r="G126" i="26"/>
  <c r="G28" i="26"/>
  <c r="G133" i="26"/>
  <c r="H103" i="27"/>
  <c r="H112" i="27"/>
  <c r="H110" i="27"/>
  <c r="H111" i="27"/>
  <c r="AG91" i="12" s="1"/>
  <c r="H82" i="27"/>
  <c r="H170" i="27"/>
  <c r="H165" i="27"/>
  <c r="AG145" i="12" s="1"/>
  <c r="H116" i="27"/>
  <c r="AG96" i="12" s="1"/>
  <c r="H168" i="27"/>
  <c r="H171" i="27"/>
  <c r="H166" i="27"/>
  <c r="AG146" i="12" s="1"/>
  <c r="H117" i="27"/>
  <c r="AG97" i="12" s="1"/>
  <c r="H169" i="27"/>
  <c r="H115" i="27"/>
  <c r="H167" i="27"/>
  <c r="H172" i="27"/>
  <c r="H152" i="27"/>
  <c r="H163" i="27"/>
  <c r="H164" i="27" s="1"/>
  <c r="H155" i="27"/>
  <c r="H150" i="27"/>
  <c r="H158" i="27"/>
  <c r="H153" i="27"/>
  <c r="H156" i="27"/>
  <c r="H151" i="27"/>
  <c r="H159" i="27"/>
  <c r="H154" i="27"/>
  <c r="H140" i="27"/>
  <c r="H135" i="27"/>
  <c r="AG115" i="12" s="1"/>
  <c r="H143" i="27"/>
  <c r="AG123" i="12" s="1"/>
  <c r="H149" i="27"/>
  <c r="H141" i="27"/>
  <c r="AG121" i="12" s="1"/>
  <c r="H146" i="27"/>
  <c r="AG126" i="12" s="1"/>
  <c r="H144" i="27"/>
  <c r="H157" i="27"/>
  <c r="H139" i="27"/>
  <c r="H132" i="27"/>
  <c r="H127" i="27"/>
  <c r="H130" i="27"/>
  <c r="H134" i="27"/>
  <c r="H147" i="27"/>
  <c r="H128" i="27"/>
  <c r="H131" i="27"/>
  <c r="H142" i="27"/>
  <c r="H129" i="27"/>
  <c r="H120" i="27"/>
  <c r="H109" i="27"/>
  <c r="H97" i="27"/>
  <c r="H104" i="27"/>
  <c r="H124" i="27"/>
  <c r="AG104" i="12" s="1"/>
  <c r="H94" i="27"/>
  <c r="H100" i="27"/>
  <c r="H107" i="27"/>
  <c r="H121" i="27"/>
  <c r="AG101" i="12" s="1"/>
  <c r="H90" i="27"/>
  <c r="H122" i="27"/>
  <c r="H98" i="27"/>
  <c r="H105" i="27"/>
  <c r="H125" i="27"/>
  <c r="H28" i="27" s="1"/>
  <c r="H119" i="27"/>
  <c r="H91" i="27"/>
  <c r="H102" i="27"/>
  <c r="H93" i="27"/>
  <c r="H123" i="27"/>
  <c r="H106" i="27"/>
  <c r="H80" i="27"/>
  <c r="H85" i="27"/>
  <c r="H52" i="27"/>
  <c r="H88" i="27"/>
  <c r="AG69" i="12" s="1"/>
  <c r="H78" i="27"/>
  <c r="H86" i="27"/>
  <c r="H53" i="27"/>
  <c r="H89" i="27"/>
  <c r="AG70" i="12" s="1"/>
  <c r="H79" i="27"/>
  <c r="H51" i="27"/>
  <c r="H87" i="27"/>
  <c r="H54" i="27"/>
  <c r="H99" i="27"/>
  <c r="G101" i="26"/>
  <c r="F110" i="32"/>
  <c r="F112" i="32"/>
  <c r="F111" i="32"/>
  <c r="G126" i="27"/>
  <c r="G95" i="26"/>
  <c r="S76" i="12" s="1"/>
  <c r="L160" i="30"/>
  <c r="AT76" i="12"/>
  <c r="H82" i="26"/>
  <c r="H111" i="26"/>
  <c r="T91" i="12" s="1"/>
  <c r="H112" i="26"/>
  <c r="T92" i="12" s="1"/>
  <c r="H103" i="26"/>
  <c r="H110" i="26"/>
  <c r="H168" i="26"/>
  <c r="H171" i="26"/>
  <c r="H117" i="26"/>
  <c r="H166" i="26"/>
  <c r="H169" i="26"/>
  <c r="H115" i="26"/>
  <c r="T95" i="12" s="1"/>
  <c r="H172" i="26"/>
  <c r="H167" i="26"/>
  <c r="T147" i="12" s="1"/>
  <c r="H116" i="26"/>
  <c r="H165" i="26"/>
  <c r="T145" i="12" s="1"/>
  <c r="H149" i="26"/>
  <c r="H152" i="26"/>
  <c r="H150" i="26"/>
  <c r="H163" i="26"/>
  <c r="H164" i="26" s="1"/>
  <c r="H170" i="26"/>
  <c r="H153" i="26"/>
  <c r="H154" i="26"/>
  <c r="H157" i="26"/>
  <c r="H151" i="26"/>
  <c r="H155" i="26"/>
  <c r="H158" i="26"/>
  <c r="H159" i="26"/>
  <c r="H142" i="26"/>
  <c r="T122" i="12" s="1"/>
  <c r="H146" i="26"/>
  <c r="H134" i="26"/>
  <c r="H143" i="26"/>
  <c r="H147" i="26"/>
  <c r="T127" i="12" s="1"/>
  <c r="H156" i="26"/>
  <c r="H135" i="26"/>
  <c r="T115" i="12" s="1"/>
  <c r="H141" i="26"/>
  <c r="H144" i="26"/>
  <c r="T124" i="12" s="1"/>
  <c r="H128" i="26"/>
  <c r="H129" i="26"/>
  <c r="H132" i="26"/>
  <c r="H127" i="26"/>
  <c r="H130" i="26"/>
  <c r="H131" i="26"/>
  <c r="H124" i="26"/>
  <c r="H121" i="26"/>
  <c r="T101" i="12" s="1"/>
  <c r="H122" i="26"/>
  <c r="H119" i="26"/>
  <c r="H120" i="26"/>
  <c r="H90" i="26"/>
  <c r="H93" i="26"/>
  <c r="H99" i="26"/>
  <c r="H94" i="26"/>
  <c r="H97" i="26"/>
  <c r="H104" i="26"/>
  <c r="H109" i="26"/>
  <c r="H87" i="26"/>
  <c r="T68" i="12" s="1"/>
  <c r="H123" i="26"/>
  <c r="H107" i="26"/>
  <c r="H53" i="26"/>
  <c r="H85" i="26"/>
  <c r="H91" i="26"/>
  <c r="H105" i="26"/>
  <c r="H88" i="26"/>
  <c r="T69" i="12" s="1"/>
  <c r="H106" i="26"/>
  <c r="H89" i="26"/>
  <c r="H98" i="26"/>
  <c r="H54" i="26"/>
  <c r="H102" i="26"/>
  <c r="H86" i="26"/>
  <c r="T67" i="12" s="1"/>
  <c r="H52" i="26"/>
  <c r="H100" i="26"/>
  <c r="H79" i="26"/>
  <c r="H78" i="26"/>
  <c r="H80" i="26"/>
  <c r="H139" i="26"/>
  <c r="H51" i="26"/>
  <c r="H140" i="26"/>
  <c r="AF9" i="12"/>
  <c r="G92" i="27"/>
  <c r="G138" i="27"/>
  <c r="AF118" i="12" s="1"/>
  <c r="G118" i="27"/>
  <c r="G92" i="26"/>
  <c r="G145" i="26"/>
  <c r="S125" i="12" s="1"/>
  <c r="L126" i="30"/>
  <c r="E136" i="12"/>
  <c r="R136" i="33" s="1"/>
  <c r="E136" i="33" s="1"/>
  <c r="G108" i="27"/>
  <c r="G173" i="27"/>
  <c r="G114" i="27"/>
  <c r="AF94" i="12" s="1"/>
  <c r="L173" i="30"/>
  <c r="E12" i="12"/>
  <c r="R12" i="33" s="1"/>
  <c r="BX76" i="12"/>
  <c r="G96" i="26"/>
  <c r="G138" i="26"/>
  <c r="G173" i="26"/>
  <c r="L101" i="30"/>
  <c r="AG106" i="33"/>
  <c r="AG10" i="33"/>
  <c r="E9" i="12"/>
  <c r="R9" i="33" s="1"/>
  <c r="L18" i="11"/>
  <c r="CK9" i="12"/>
  <c r="CK8" i="12"/>
  <c r="M28" i="15"/>
  <c r="M28" i="14"/>
  <c r="M28" i="8"/>
  <c r="D85" i="12"/>
  <c r="E128" i="12"/>
  <c r="R128" i="33" s="1"/>
  <c r="F95" i="12"/>
  <c r="S95" i="33" s="1"/>
  <c r="F95" i="33" s="1"/>
  <c r="F68" i="12"/>
  <c r="S68" i="33" s="1"/>
  <c r="F68" i="33" s="1"/>
  <c r="F123" i="12"/>
  <c r="S123" i="33" s="1"/>
  <c r="F121" i="12"/>
  <c r="F117" i="12"/>
  <c r="S117" i="33" s="1"/>
  <c r="E8" i="12"/>
  <c r="R8" i="33" s="1"/>
  <c r="F122" i="12"/>
  <c r="S122" i="33" s="1"/>
  <c r="E125" i="12"/>
  <c r="R125" i="33" s="1"/>
  <c r="F127" i="12"/>
  <c r="S127" i="33" s="1"/>
  <c r="F97" i="12"/>
  <c r="S97" i="33" s="1"/>
  <c r="F97" i="33" s="1"/>
  <c r="E130" i="12"/>
  <c r="R130" i="33" s="1"/>
  <c r="E130" i="33" s="1"/>
  <c r="F124" i="12"/>
  <c r="S124" i="33" s="1"/>
  <c r="F67" i="12"/>
  <c r="S67" i="33" s="1"/>
  <c r="E143" i="12"/>
  <c r="R143" i="33" s="1"/>
  <c r="E143" i="33" s="1"/>
  <c r="E118" i="12"/>
  <c r="R118" i="33" s="1"/>
  <c r="E85" i="12"/>
  <c r="H164" i="12"/>
  <c r="E79" i="12"/>
  <c r="R79" i="33" s="1"/>
  <c r="E79" i="33" s="1"/>
  <c r="E149" i="12"/>
  <c r="R149" i="33" s="1"/>
  <c r="E149" i="33" s="1"/>
  <c r="E100" i="12"/>
  <c r="R100" i="33" s="1"/>
  <c r="E132" i="12"/>
  <c r="R132" i="33" s="1"/>
  <c r="E132" i="33" s="1"/>
  <c r="E150" i="12"/>
  <c r="R150" i="33" s="1"/>
  <c r="E150" i="33" s="1"/>
  <c r="E114" i="12"/>
  <c r="E135" i="12"/>
  <c r="R135" i="33" s="1"/>
  <c r="E135" i="33" s="1"/>
  <c r="E120" i="12"/>
  <c r="E61" i="12"/>
  <c r="R61" i="33" s="1"/>
  <c r="E61" i="33" s="1"/>
  <c r="E59" i="12"/>
  <c r="R59" i="33" s="1"/>
  <c r="E59" i="33" s="1"/>
  <c r="E119" i="12"/>
  <c r="E103" i="12"/>
  <c r="R103" i="33" s="1"/>
  <c r="E103" i="33" s="1"/>
  <c r="E105" i="12"/>
  <c r="R105" i="33" s="1"/>
  <c r="E105" i="33" s="1"/>
  <c r="E81" i="12"/>
  <c r="R81" i="33" s="1"/>
  <c r="E81" i="33" s="1"/>
  <c r="BR24" i="12"/>
  <c r="F61" i="30"/>
  <c r="BR42" i="12" s="1"/>
  <c r="BQ26" i="12"/>
  <c r="E63" i="30"/>
  <c r="E47" i="30"/>
  <c r="BQ86" i="12"/>
  <c r="E108" i="30"/>
  <c r="BQ88" i="12" s="1"/>
  <c r="E66" i="30"/>
  <c r="E50" i="30"/>
  <c r="BQ29" i="12"/>
  <c r="BQ27" i="12"/>
  <c r="E64" i="30"/>
  <c r="BQ45" i="12" s="1"/>
  <c r="BS60" i="12"/>
  <c r="BS130" i="12"/>
  <c r="BS152" i="12"/>
  <c r="BS149" i="12"/>
  <c r="BS142" i="12"/>
  <c r="BS132" i="12"/>
  <c r="BS75" i="12"/>
  <c r="BS133" i="12"/>
  <c r="BS120" i="12"/>
  <c r="BS143" i="12"/>
  <c r="BS134" i="12"/>
  <c r="BS137" i="12"/>
  <c r="BS72" i="12"/>
  <c r="BS79" i="12"/>
  <c r="BS136" i="12"/>
  <c r="BS80" i="12"/>
  <c r="BS100" i="12"/>
  <c r="BS81" i="12"/>
  <c r="BS119" i="12"/>
  <c r="BS138" i="12"/>
  <c r="BS83" i="12"/>
  <c r="BS151" i="12"/>
  <c r="BS131" i="12"/>
  <c r="BS59" i="12"/>
  <c r="BS84" i="12"/>
  <c r="BS103" i="12"/>
  <c r="BS85" i="12"/>
  <c r="BS135" i="12"/>
  <c r="BS61" i="12"/>
  <c r="BS105" i="12"/>
  <c r="BS63" i="12"/>
  <c r="BS87" i="12"/>
  <c r="BS114" i="12"/>
  <c r="BS139" i="12"/>
  <c r="BS150" i="12"/>
  <c r="BS89" i="12"/>
  <c r="E151" i="12"/>
  <c r="R151" i="33" s="1"/>
  <c r="E151" i="33" s="1"/>
  <c r="BQ107" i="12"/>
  <c r="E133" i="30"/>
  <c r="BQ113" i="12" s="1"/>
  <c r="BQ32" i="12"/>
  <c r="E59" i="30"/>
  <c r="BQ40" i="12" s="1"/>
  <c r="BR26" i="12"/>
  <c r="F63" i="30"/>
  <c r="BR74" i="12"/>
  <c r="BR77" i="12"/>
  <c r="BR148" i="12"/>
  <c r="BR153" i="12"/>
  <c r="BR32" i="12"/>
  <c r="F59" i="30"/>
  <c r="BR40" i="12" s="1"/>
  <c r="BQ102" i="12"/>
  <c r="E126" i="30"/>
  <c r="BQ148" i="12"/>
  <c r="E173" i="30"/>
  <c r="BQ153" i="12" s="1"/>
  <c r="BQ24" i="12"/>
  <c r="E61" i="30"/>
  <c r="BQ42" i="12" s="1"/>
  <c r="BR78" i="12"/>
  <c r="BR82" i="12"/>
  <c r="BQ78" i="12"/>
  <c r="E101" i="30"/>
  <c r="BQ82" i="12" s="1"/>
  <c r="BQ30" i="12"/>
  <c r="E67" i="30"/>
  <c r="BQ48" i="12" s="1"/>
  <c r="BR23" i="12"/>
  <c r="F60" i="30"/>
  <c r="BR29" i="12"/>
  <c r="F66" i="30"/>
  <c r="E152" i="12"/>
  <c r="R152" i="33" s="1"/>
  <c r="E152" i="33" s="1"/>
  <c r="E84" i="12"/>
  <c r="BR102" i="12"/>
  <c r="BR66" i="12"/>
  <c r="BR73" i="12"/>
  <c r="BR27" i="12"/>
  <c r="F64" i="30"/>
  <c r="BR45" i="12" s="1"/>
  <c r="BR88" i="12"/>
  <c r="BR86" i="12"/>
  <c r="BQ141" i="12"/>
  <c r="E164" i="30"/>
  <c r="BQ144" i="12" s="1"/>
  <c r="BQ129" i="12"/>
  <c r="E160" i="30"/>
  <c r="BQ140" i="12" s="1"/>
  <c r="BR30" i="12"/>
  <c r="F67" i="30"/>
  <c r="BR48" i="12" s="1"/>
  <c r="BR129" i="12"/>
  <c r="BR140" i="12"/>
  <c r="BQ74" i="12"/>
  <c r="E96" i="30"/>
  <c r="BQ77" i="12" s="1"/>
  <c r="BQ23" i="12"/>
  <c r="E60" i="30"/>
  <c r="BQ66" i="12"/>
  <c r="E92" i="30"/>
  <c r="BQ73" i="12" s="1"/>
  <c r="D120" i="12"/>
  <c r="F63" i="34"/>
  <c r="CE26" i="12"/>
  <c r="F66" i="34"/>
  <c r="CE29" i="12"/>
  <c r="CE148" i="12"/>
  <c r="CF23" i="12"/>
  <c r="G60" i="34"/>
  <c r="G63" i="34"/>
  <c r="CF26" i="12"/>
  <c r="BD27" i="12"/>
  <c r="E64" i="29"/>
  <c r="BD45" i="12" s="1"/>
  <c r="BD24" i="12"/>
  <c r="E61" i="29"/>
  <c r="BD42" i="12" s="1"/>
  <c r="BD74" i="12"/>
  <c r="E96" i="29"/>
  <c r="BD77" i="12" s="1"/>
  <c r="E60" i="29"/>
  <c r="BD23" i="12"/>
  <c r="BD129" i="12"/>
  <c r="E160" i="29"/>
  <c r="BD140" i="12" s="1"/>
  <c r="CD27" i="12"/>
  <c r="E64" i="34"/>
  <c r="CD45" i="12" s="1"/>
  <c r="CD24" i="12"/>
  <c r="E61" i="34"/>
  <c r="CD42" i="12" s="1"/>
  <c r="BE29" i="12"/>
  <c r="F66" i="29"/>
  <c r="BE24" i="12"/>
  <c r="F61" i="29"/>
  <c r="BE42" i="12" s="1"/>
  <c r="BE148" i="12"/>
  <c r="BE153" i="12"/>
  <c r="F60" i="29"/>
  <c r="BE23" i="12"/>
  <c r="D143" i="12"/>
  <c r="F60" i="34"/>
  <c r="CE23" i="12"/>
  <c r="CE74" i="12"/>
  <c r="CE77" i="12"/>
  <c r="CF32" i="12"/>
  <c r="G59" i="34"/>
  <c r="CF40" i="12" s="1"/>
  <c r="CF30" i="12"/>
  <c r="G67" i="34"/>
  <c r="CF48" i="12" s="1"/>
  <c r="G61" i="34"/>
  <c r="CF42" i="12" s="1"/>
  <c r="CF24" i="12"/>
  <c r="BD107" i="12"/>
  <c r="E133" i="29"/>
  <c r="BD113" i="12" s="1"/>
  <c r="E63" i="29"/>
  <c r="E47" i="29"/>
  <c r="BD26" i="12"/>
  <c r="CD148" i="12"/>
  <c r="E173" i="34"/>
  <c r="CD129" i="12"/>
  <c r="E160" i="34"/>
  <c r="CD140" i="12" s="1"/>
  <c r="E60" i="34"/>
  <c r="CD23" i="12"/>
  <c r="CD32" i="12"/>
  <c r="E59" i="34"/>
  <c r="CD40" i="12" s="1"/>
  <c r="CE66" i="12"/>
  <c r="CE73" i="12"/>
  <c r="CE102" i="12"/>
  <c r="CF27" i="12"/>
  <c r="G64" i="34"/>
  <c r="CF45" i="12" s="1"/>
  <c r="CF102" i="12"/>
  <c r="CF106" i="12"/>
  <c r="BD148" i="12"/>
  <c r="E173" i="29"/>
  <c r="BD153" i="12" s="1"/>
  <c r="CD107" i="12"/>
  <c r="E133" i="34"/>
  <c r="CD113" i="12" s="1"/>
  <c r="CD86" i="12"/>
  <c r="E108" i="34"/>
  <c r="CD88" i="12" s="1"/>
  <c r="CD74" i="12"/>
  <c r="E96" i="34"/>
  <c r="CD77" i="12" s="1"/>
  <c r="BE30" i="12"/>
  <c r="F67" i="29"/>
  <c r="BE48" i="12" s="1"/>
  <c r="BE32" i="12"/>
  <c r="F59" i="29"/>
  <c r="BE40" i="12" s="1"/>
  <c r="CG87" i="12"/>
  <c r="CG100" i="12"/>
  <c r="CG133" i="12"/>
  <c r="CG134" i="12"/>
  <c r="CG135" i="12"/>
  <c r="CG151" i="12"/>
  <c r="CG132" i="12"/>
  <c r="CG34" i="12"/>
  <c r="CG114" i="12"/>
  <c r="CG72" i="12"/>
  <c r="CG152" i="12"/>
  <c r="CG138" i="12"/>
  <c r="CG83" i="12"/>
  <c r="CG79" i="12"/>
  <c r="CG150" i="12"/>
  <c r="CG89" i="12"/>
  <c r="CG85" i="12"/>
  <c r="CG84" i="12"/>
  <c r="CG60" i="12"/>
  <c r="CG81" i="12"/>
  <c r="CG142" i="12"/>
  <c r="CG63" i="12"/>
  <c r="CG149" i="12"/>
  <c r="CG131" i="12"/>
  <c r="CG33" i="12"/>
  <c r="CG80" i="12"/>
  <c r="CG103" i="12"/>
  <c r="CG137" i="12"/>
  <c r="CG59" i="12"/>
  <c r="CG136" i="12"/>
  <c r="CG143" i="12"/>
  <c r="CG130" i="12"/>
  <c r="CG139" i="12"/>
  <c r="CG61" i="12"/>
  <c r="CG119" i="12"/>
  <c r="CG120" i="12"/>
  <c r="CG75" i="12"/>
  <c r="D84" i="12"/>
  <c r="CE32" i="12"/>
  <c r="F59" i="34"/>
  <c r="CE40" i="12" s="1"/>
  <c r="CE141" i="12"/>
  <c r="CE144" i="12"/>
  <c r="CE27" i="12"/>
  <c r="F64" i="34"/>
  <c r="CE45" i="12" s="1"/>
  <c r="CE86" i="12"/>
  <c r="CE88" i="12"/>
  <c r="CF29" i="12"/>
  <c r="G66" i="34"/>
  <c r="CF129" i="12"/>
  <c r="CF140" i="12"/>
  <c r="BD29" i="12"/>
  <c r="E66" i="29"/>
  <c r="E50" i="29"/>
  <c r="CD141" i="12"/>
  <c r="E164" i="34"/>
  <c r="CD144" i="12" s="1"/>
  <c r="E47" i="34"/>
  <c r="E63" i="34"/>
  <c r="CD26" i="12"/>
  <c r="CD66" i="12"/>
  <c r="E92" i="34"/>
  <c r="CD73" i="12" s="1"/>
  <c r="BE74" i="12"/>
  <c r="BE77" i="12"/>
  <c r="BE26" i="12"/>
  <c r="F63" i="29"/>
  <c r="CE35" i="12"/>
  <c r="CF77" i="12"/>
  <c r="CF74" i="12"/>
  <c r="CF88" i="12"/>
  <c r="CF86" i="12"/>
  <c r="BD78" i="12"/>
  <c r="E101" i="29"/>
  <c r="BD82" i="12" s="1"/>
  <c r="BD102" i="12"/>
  <c r="E126" i="29"/>
  <c r="CD30" i="12"/>
  <c r="E67" i="34"/>
  <c r="CD48" i="12" s="1"/>
  <c r="CD78" i="12"/>
  <c r="E101" i="34"/>
  <c r="CD82" i="12" s="1"/>
  <c r="BE102" i="12"/>
  <c r="CE30" i="12"/>
  <c r="F67" i="34"/>
  <c r="CE48" i="12" s="1"/>
  <c r="CF141" i="12"/>
  <c r="CF144" i="12"/>
  <c r="CD102" i="12"/>
  <c r="E126" i="34"/>
  <c r="CD29" i="12"/>
  <c r="E66" i="34"/>
  <c r="E50" i="34"/>
  <c r="BE78" i="12"/>
  <c r="BE82" i="12"/>
  <c r="CE24" i="12"/>
  <c r="F61" i="34"/>
  <c r="CE42" i="12" s="1"/>
  <c r="CE129" i="12"/>
  <c r="CE140" i="12"/>
  <c r="CF66" i="12"/>
  <c r="CF73" i="12"/>
  <c r="BD32" i="12"/>
  <c r="E59" i="29"/>
  <c r="BD40" i="12" s="1"/>
  <c r="BD30" i="12"/>
  <c r="E67" i="29"/>
  <c r="BD48" i="12" s="1"/>
  <c r="BE129" i="12"/>
  <c r="BE140" i="12"/>
  <c r="D137" i="12"/>
  <c r="CE78" i="12"/>
  <c r="CE82" i="12"/>
  <c r="CF148" i="12"/>
  <c r="CF153" i="12"/>
  <c r="CF35" i="12"/>
  <c r="CF82" i="12"/>
  <c r="CF78" i="12"/>
  <c r="BD66" i="12"/>
  <c r="E92" i="29"/>
  <c r="BD73" i="12" s="1"/>
  <c r="BD86" i="12"/>
  <c r="E108" i="29"/>
  <c r="BD88" i="12" s="1"/>
  <c r="BD141" i="12"/>
  <c r="E164" i="29"/>
  <c r="BD144" i="12" s="1"/>
  <c r="CD35" i="12"/>
  <c r="D35" i="12" s="1"/>
  <c r="BE86" i="12"/>
  <c r="BE88" i="12"/>
  <c r="BE27" i="12"/>
  <c r="F64" i="29"/>
  <c r="BE45" i="12" s="1"/>
  <c r="BE66" i="12"/>
  <c r="BE73" i="12"/>
  <c r="F69" i="12"/>
  <c r="S69" i="33" s="1"/>
  <c r="F69" i="33" s="1"/>
  <c r="D63" i="12"/>
  <c r="E34" i="12"/>
  <c r="R34" i="33" s="1"/>
  <c r="E34" i="33" s="1"/>
  <c r="E137" i="12"/>
  <c r="R137" i="33" s="1"/>
  <c r="E137" i="33" s="1"/>
  <c r="D34" i="12"/>
  <c r="F92" i="12"/>
  <c r="S92" i="33" s="1"/>
  <c r="F115" i="12"/>
  <c r="S115" i="33" s="1"/>
  <c r="E138" i="12"/>
  <c r="R138" i="33" s="1"/>
  <c r="E138" i="33" s="1"/>
  <c r="F101" i="12"/>
  <c r="S101" i="33" s="1"/>
  <c r="F101" i="33" s="1"/>
  <c r="E94" i="12"/>
  <c r="R94" i="33" s="1"/>
  <c r="D100" i="12"/>
  <c r="G165" i="12"/>
  <c r="E7" i="12"/>
  <c r="F90" i="12"/>
  <c r="S90" i="33" s="1"/>
  <c r="F147" i="12"/>
  <c r="S147" i="33" s="1"/>
  <c r="F147" i="33" s="1"/>
  <c r="F99" i="12"/>
  <c r="E98" i="12"/>
  <c r="E139" i="12"/>
  <c r="R139" i="33" s="1"/>
  <c r="E139" i="33" s="1"/>
  <c r="D114" i="12"/>
  <c r="F70" i="12"/>
  <c r="S70" i="33" s="1"/>
  <c r="F70" i="33" s="1"/>
  <c r="F145" i="12"/>
  <c r="S145" i="33" s="1"/>
  <c r="F96" i="12"/>
  <c r="S96" i="33" s="1"/>
  <c r="F96" i="33" s="1"/>
  <c r="D83" i="12"/>
  <c r="E60" i="12"/>
  <c r="R60" i="33" s="1"/>
  <c r="E60" i="33" s="1"/>
  <c r="E63" i="12"/>
  <c r="G39" i="34"/>
  <c r="CF21" i="12" s="1"/>
  <c r="F57" i="21" s="1"/>
  <c r="CF11" i="12"/>
  <c r="F126" i="12"/>
  <c r="S126" i="33" s="1"/>
  <c r="F93" i="12"/>
  <c r="S93" i="33" s="1"/>
  <c r="E134" i="12"/>
  <c r="R134" i="33" s="1"/>
  <c r="E134" i="33" s="1"/>
  <c r="D136" i="12"/>
  <c r="I166" i="12"/>
  <c r="I16" i="21" s="1"/>
  <c r="F116" i="12"/>
  <c r="S116" i="33" s="1"/>
  <c r="F91" i="12"/>
  <c r="S91" i="33" s="1"/>
  <c r="E72" i="12"/>
  <c r="R72" i="33" s="1"/>
  <c r="E72" i="33" s="1"/>
  <c r="D89" i="12"/>
  <c r="E133" i="12"/>
  <c r="R133" i="33" s="1"/>
  <c r="E133" i="33" s="1"/>
  <c r="E33" i="12"/>
  <c r="R33" i="33" s="1"/>
  <c r="E33" i="33" s="1"/>
  <c r="D142" i="12"/>
  <c r="F146" i="12"/>
  <c r="S146" i="33" s="1"/>
  <c r="F104" i="12"/>
  <c r="S104" i="33" s="1"/>
  <c r="F104" i="33" s="1"/>
  <c r="F71" i="12"/>
  <c r="S71" i="33" s="1"/>
  <c r="F71" i="33" s="1"/>
  <c r="E83" i="12"/>
  <c r="E80" i="12"/>
  <c r="R80" i="33" s="1"/>
  <c r="E80" i="33" s="1"/>
  <c r="D119" i="12"/>
  <c r="E142" i="12"/>
  <c r="R142" i="33" s="1"/>
  <c r="E142" i="33" s="1"/>
  <c r="D33" i="12"/>
  <c r="E131" i="12"/>
  <c r="R131" i="33" s="1"/>
  <c r="E131" i="33" s="1"/>
  <c r="D128" i="12"/>
  <c r="Q128" i="33" s="1"/>
  <c r="D128" i="33" s="1"/>
  <c r="D118" i="12"/>
  <c r="Q118" i="33" s="1"/>
  <c r="D118" i="33" s="1"/>
  <c r="W171" i="12"/>
  <c r="D125" i="12"/>
  <c r="Q125" i="33" s="1"/>
  <c r="D125" i="33" s="1"/>
  <c r="D64" i="12"/>
  <c r="D111" i="12"/>
  <c r="D112" i="12"/>
  <c r="M67" i="15"/>
  <c r="K69" i="8"/>
  <c r="K74" i="8"/>
  <c r="K460" i="8"/>
  <c r="K70" i="8"/>
  <c r="K72" i="8"/>
  <c r="K67" i="8"/>
  <c r="K73" i="8"/>
  <c r="K62" i="14"/>
  <c r="J73" i="14"/>
  <c r="J69" i="14"/>
  <c r="J74" i="14"/>
  <c r="J67" i="14"/>
  <c r="L59" i="8"/>
  <c r="N111" i="14"/>
  <c r="N183" i="14"/>
  <c r="N184" i="14"/>
  <c r="K56" i="14"/>
  <c r="K60" i="14" s="1"/>
  <c r="L414" i="14"/>
  <c r="L364" i="14"/>
  <c r="L382" i="14"/>
  <c r="L410" i="14"/>
  <c r="L363" i="14"/>
  <c r="L370" i="14"/>
  <c r="L319" i="14"/>
  <c r="L355" i="14"/>
  <c r="L389" i="14"/>
  <c r="L352" i="14"/>
  <c r="L385" i="14"/>
  <c r="L423" i="14"/>
  <c r="L436" i="14"/>
  <c r="L388" i="14"/>
  <c r="L431" i="14"/>
  <c r="L345" i="14"/>
  <c r="L396" i="14"/>
  <c r="L378" i="14"/>
  <c r="L383" i="14"/>
  <c r="L350" i="14"/>
  <c r="L339" i="14"/>
  <c r="L335" i="14"/>
  <c r="L327" i="14"/>
  <c r="L365" i="14"/>
  <c r="L439" i="14"/>
  <c r="L321" i="14"/>
  <c r="L356" i="14"/>
  <c r="L324" i="14"/>
  <c r="L331" i="14"/>
  <c r="L401" i="14"/>
  <c r="L404" i="14"/>
  <c r="L418" i="14"/>
  <c r="L366" i="14"/>
  <c r="L334" i="14"/>
  <c r="L347" i="14"/>
  <c r="L434" i="14"/>
  <c r="L357" i="14"/>
  <c r="L359" i="14"/>
  <c r="L380" i="14"/>
  <c r="L412" i="14"/>
  <c r="L373" i="14"/>
  <c r="L340" i="14"/>
  <c r="L56" i="14" s="1"/>
  <c r="L60" i="14" s="1"/>
  <c r="L406" i="14"/>
  <c r="L330" i="14"/>
  <c r="L316" i="14"/>
  <c r="L386" i="14"/>
  <c r="L336" i="14"/>
  <c r="L413" i="14"/>
  <c r="L361" i="14"/>
  <c r="L333" i="14"/>
  <c r="L426" i="14"/>
  <c r="L417" i="14"/>
  <c r="L348" i="14"/>
  <c r="L402" i="14"/>
  <c r="L322" i="14"/>
  <c r="L343" i="14"/>
  <c r="L433" i="14"/>
  <c r="L344" i="14"/>
  <c r="L399" i="14"/>
  <c r="L372" i="14"/>
  <c r="L349" i="14"/>
  <c r="L438" i="14"/>
  <c r="L403" i="14"/>
  <c r="L375" i="14"/>
  <c r="L368" i="14"/>
  <c r="L354" i="14"/>
  <c r="L435" i="14"/>
  <c r="L427" i="14"/>
  <c r="L430" i="14"/>
  <c r="L425" i="14"/>
  <c r="L328" i="14"/>
  <c r="L405" i="14"/>
  <c r="L411" i="14"/>
  <c r="L432" i="14"/>
  <c r="L421" i="14"/>
  <c r="L422" i="14"/>
  <c r="L338" i="14"/>
  <c r="L391" i="14"/>
  <c r="L428" i="14"/>
  <c r="L392" i="14"/>
  <c r="L395" i="14"/>
  <c r="L371" i="14"/>
  <c r="L318" i="14"/>
  <c r="L407" i="14"/>
  <c r="L409" i="14"/>
  <c r="L440" i="14"/>
  <c r="L398" i="14"/>
  <c r="L367" i="14"/>
  <c r="L387" i="14"/>
  <c r="L384" i="14"/>
  <c r="L379" i="14"/>
  <c r="L437" i="14"/>
  <c r="L360" i="14"/>
  <c r="L362" i="14"/>
  <c r="L325" i="14"/>
  <c r="L424" i="14"/>
  <c r="L369" i="14"/>
  <c r="L374" i="14"/>
  <c r="L351" i="14"/>
  <c r="L341" i="14"/>
  <c r="L415" i="14"/>
  <c r="L390" i="14"/>
  <c r="L346" i="14"/>
  <c r="L408" i="14"/>
  <c r="L376" i="14"/>
  <c r="L393" i="14"/>
  <c r="L353" i="14"/>
  <c r="L420" i="14"/>
  <c r="L416" i="14"/>
  <c r="L397" i="14"/>
  <c r="L377" i="14"/>
  <c r="L400" i="14"/>
  <c r="L358" i="14"/>
  <c r="L419" i="14"/>
  <c r="L342" i="14"/>
  <c r="L381" i="14"/>
  <c r="L394" i="14"/>
  <c r="L5" i="14"/>
  <c r="L429" i="14"/>
  <c r="L337" i="14"/>
  <c r="L326" i="14"/>
  <c r="L332" i="14"/>
  <c r="L320" i="14"/>
  <c r="L323" i="14"/>
  <c r="L64" i="14" s="1"/>
  <c r="L329" i="14"/>
  <c r="L317" i="14"/>
  <c r="N4" i="8"/>
  <c r="M5" i="8"/>
  <c r="O63" i="15"/>
  <c r="O65" i="15"/>
  <c r="O42" i="15" s="1"/>
  <c r="J442" i="14"/>
  <c r="Q7" i="14"/>
  <c r="Q71" i="14"/>
  <c r="K63" i="14"/>
  <c r="K66" i="14" s="1"/>
  <c r="K58" i="14"/>
  <c r="K441" i="14"/>
  <c r="K442" i="14" s="1"/>
  <c r="L71" i="15"/>
  <c r="L185" i="15"/>
  <c r="L143" i="15"/>
  <c r="P8" i="8"/>
  <c r="O9" i="8"/>
  <c r="O85" i="8" s="1"/>
  <c r="O56" i="15"/>
  <c r="O60" i="15" s="1"/>
  <c r="O62" i="15"/>
  <c r="J68" i="14"/>
  <c r="J75" i="14" s="1"/>
  <c r="J151" i="14" s="1"/>
  <c r="J152" i="14" s="1"/>
  <c r="J70" i="14"/>
  <c r="J72" i="14"/>
  <c r="Q90" i="14"/>
  <c r="N87" i="8"/>
  <c r="N136" i="8"/>
  <c r="N156" i="8"/>
  <c r="N123" i="8"/>
  <c r="N40" i="8" s="1"/>
  <c r="N141" i="8"/>
  <c r="N32" i="8" s="1"/>
  <c r="N79" i="8"/>
  <c r="N149" i="8"/>
  <c r="N82" i="8"/>
  <c r="N91" i="8"/>
  <c r="N108" i="8" s="1"/>
  <c r="N92" i="8"/>
  <c r="N81" i="8"/>
  <c r="N89" i="8" s="1"/>
  <c r="N105" i="8"/>
  <c r="N104" i="8"/>
  <c r="N77" i="8"/>
  <c r="N106" i="8"/>
  <c r="N76" i="8"/>
  <c r="N80" i="8" s="1"/>
  <c r="N128" i="8"/>
  <c r="N160" i="8"/>
  <c r="O441" i="15"/>
  <c r="O58" i="15"/>
  <c r="M69" i="15"/>
  <c r="M74" i="15"/>
  <c r="O86" i="8"/>
  <c r="L92" i="14"/>
  <c r="O92" i="14" s="1"/>
  <c r="O94" i="14" s="1"/>
  <c r="K65" i="14"/>
  <c r="K42" i="14" s="1"/>
  <c r="M68" i="15"/>
  <c r="M75" i="15" s="1"/>
  <c r="M73" i="15"/>
  <c r="M70" i="15"/>
  <c r="M72" i="15"/>
  <c r="N66" i="15"/>
  <c r="N72" i="15" s="1"/>
  <c r="M359" i="8"/>
  <c r="M184" i="15"/>
  <c r="M183" i="15"/>
  <c r="M111" i="15"/>
  <c r="N90" i="15"/>
  <c r="Q90" i="15" s="1"/>
  <c r="M89" i="15"/>
  <c r="P89" i="15" s="1"/>
  <c r="M90" i="15"/>
  <c r="P90" i="15" s="1"/>
  <c r="N88" i="15"/>
  <c r="Q88" i="15" s="1"/>
  <c r="N89" i="15"/>
  <c r="Q89" i="15" s="1"/>
  <c r="M88" i="15"/>
  <c r="P88" i="15" s="1"/>
  <c r="L459" i="8"/>
  <c r="L57" i="8" s="1"/>
  <c r="L58" i="8"/>
  <c r="P139" i="14"/>
  <c r="P79" i="14"/>
  <c r="P82" i="14"/>
  <c r="P81" i="14"/>
  <c r="P84" i="14" s="1"/>
  <c r="P124" i="14"/>
  <c r="P32" i="14" s="1"/>
  <c r="P119" i="14"/>
  <c r="P132" i="14"/>
  <c r="P143" i="14"/>
  <c r="P111" i="14"/>
  <c r="P87" i="14"/>
  <c r="P86" i="14"/>
  <c r="P91" i="14" s="1"/>
  <c r="P370" i="15"/>
  <c r="P350" i="15"/>
  <c r="P329" i="15"/>
  <c r="P439" i="15"/>
  <c r="P435" i="15"/>
  <c r="P365" i="15"/>
  <c r="P356" i="15"/>
  <c r="P395" i="15"/>
  <c r="P351" i="15"/>
  <c r="P369" i="15"/>
  <c r="P428" i="15"/>
  <c r="P364" i="15"/>
  <c r="P366" i="15"/>
  <c r="P349" i="15"/>
  <c r="P326" i="15"/>
  <c r="P368" i="15"/>
  <c r="P335" i="15"/>
  <c r="P383" i="15"/>
  <c r="P430" i="15"/>
  <c r="P437" i="15"/>
  <c r="P384" i="15"/>
  <c r="P319" i="15"/>
  <c r="P376" i="15"/>
  <c r="P340" i="15"/>
  <c r="P362" i="15"/>
  <c r="P346" i="15"/>
  <c r="P325" i="15"/>
  <c r="P372" i="15"/>
  <c r="P343" i="15"/>
  <c r="P397" i="15"/>
  <c r="P436" i="15"/>
  <c r="P360" i="15"/>
  <c r="P421" i="15"/>
  <c r="P438" i="15"/>
  <c r="P426" i="15"/>
  <c r="P385" i="15"/>
  <c r="P387" i="15"/>
  <c r="P422" i="15"/>
  <c r="P345" i="15"/>
  <c r="P322" i="15"/>
  <c r="P423" i="15"/>
  <c r="P332" i="15"/>
  <c r="P380" i="15"/>
  <c r="P373" i="15"/>
  <c r="P375" i="15"/>
  <c r="P367" i="15"/>
  <c r="P433" i="15"/>
  <c r="P316" i="15"/>
  <c r="P386" i="15"/>
  <c r="P358" i="15"/>
  <c r="P378" i="15"/>
  <c r="P354" i="15"/>
  <c r="P337" i="15"/>
  <c r="P399" i="15"/>
  <c r="P389" i="15"/>
  <c r="P440" i="15"/>
  <c r="P431" i="15"/>
  <c r="P396" i="15"/>
  <c r="P388" i="15"/>
  <c r="P427" i="15"/>
  <c r="P394" i="15"/>
  <c r="P347" i="15"/>
  <c r="P374" i="15"/>
  <c r="P359" i="15"/>
  <c r="P344" i="15"/>
  <c r="P398" i="15"/>
  <c r="P355" i="15"/>
  <c r="P357" i="15"/>
  <c r="P424" i="15"/>
  <c r="P400" i="15"/>
  <c r="P432" i="15"/>
  <c r="P5" i="15"/>
  <c r="P353" i="15"/>
  <c r="P379" i="15"/>
  <c r="P392" i="15"/>
  <c r="P320" i="15"/>
  <c r="P342" i="15"/>
  <c r="P363" i="15"/>
  <c r="P391" i="15"/>
  <c r="P328" i="15"/>
  <c r="P341" i="15"/>
  <c r="P348" i="15"/>
  <c r="P371" i="15"/>
  <c r="P377" i="15"/>
  <c r="P334" i="15"/>
  <c r="P434" i="15"/>
  <c r="P429" i="15"/>
  <c r="P393" i="15"/>
  <c r="P317" i="15"/>
  <c r="P361" i="15"/>
  <c r="P352" i="15"/>
  <c r="P323" i="15"/>
  <c r="P382" i="15"/>
  <c r="P390" i="15"/>
  <c r="P425" i="15"/>
  <c r="P381" i="15"/>
  <c r="P331" i="15"/>
  <c r="P419" i="15"/>
  <c r="P409" i="15"/>
  <c r="P321" i="15"/>
  <c r="P318" i="15"/>
  <c r="P417" i="15"/>
  <c r="P406" i="15"/>
  <c r="P410" i="15"/>
  <c r="P324" i="15"/>
  <c r="P413" i="15"/>
  <c r="P330" i="15"/>
  <c r="P416" i="15"/>
  <c r="P336" i="15"/>
  <c r="P405" i="15"/>
  <c r="P402" i="15"/>
  <c r="P327" i="15"/>
  <c r="P338" i="15"/>
  <c r="P415" i="15"/>
  <c r="P333" i="15"/>
  <c r="P414" i="15"/>
  <c r="P339" i="15"/>
  <c r="P401" i="15"/>
  <c r="N68" i="15"/>
  <c r="N75" i="15" s="1"/>
  <c r="N70" i="15"/>
  <c r="N73" i="15"/>
  <c r="L71" i="14"/>
  <c r="L143" i="14"/>
  <c r="M397" i="8"/>
  <c r="M406" i="8"/>
  <c r="M404" i="8"/>
  <c r="M410" i="8"/>
  <c r="M395" i="8"/>
  <c r="M454" i="8"/>
  <c r="M351" i="8"/>
  <c r="M424" i="8"/>
  <c r="M354" i="8"/>
  <c r="M426" i="8"/>
  <c r="M338" i="8"/>
  <c r="M447" i="8"/>
  <c r="M446" i="8"/>
  <c r="M401" i="8"/>
  <c r="M408" i="8"/>
  <c r="M370" i="8"/>
  <c r="M415" i="8"/>
  <c r="M456" i="8"/>
  <c r="M365" i="8"/>
  <c r="M432" i="8"/>
  <c r="M350" i="8"/>
  <c r="M425" i="8"/>
  <c r="M336" i="8"/>
  <c r="M356" i="8"/>
  <c r="M399" i="8"/>
  <c r="M445" i="8"/>
  <c r="M441" i="8"/>
  <c r="M388" i="8"/>
  <c r="M405" i="8"/>
  <c r="M412" i="8"/>
  <c r="M366" i="8"/>
  <c r="M411" i="8"/>
  <c r="M418" i="8"/>
  <c r="M353" i="8"/>
  <c r="M355" i="8"/>
  <c r="M348" i="8"/>
  <c r="M431" i="8"/>
  <c r="M428" i="8"/>
  <c r="M398" i="8"/>
  <c r="M442" i="8"/>
  <c r="M386" i="8"/>
  <c r="M457" i="8"/>
  <c r="M413" i="8"/>
  <c r="M416" i="8"/>
  <c r="M371" i="8"/>
  <c r="M450" i="8"/>
  <c r="M403" i="8"/>
  <c r="M376" i="8"/>
  <c r="M422" i="8"/>
  <c r="M419" i="8"/>
  <c r="M440" i="8"/>
  <c r="M436" i="8"/>
  <c r="M448" i="8"/>
  <c r="M372" i="8"/>
  <c r="M417" i="8"/>
  <c r="M455" i="8"/>
  <c r="M367" i="8"/>
  <c r="M452" i="8"/>
  <c r="M375" i="8"/>
  <c r="M430" i="8"/>
  <c r="M421" i="8"/>
  <c r="M427" i="8"/>
  <c r="M341" i="8"/>
  <c r="M429" i="8"/>
  <c r="M443" i="8"/>
  <c r="M377" i="8"/>
  <c r="M384" i="8"/>
  <c r="M451" i="8"/>
  <c r="M458" i="8"/>
  <c r="M360" i="8"/>
  <c r="M362" i="8"/>
  <c r="M437" i="8"/>
  <c r="M434" i="8"/>
  <c r="M435" i="8"/>
  <c r="M357" i="8"/>
  <c r="M335" i="8"/>
  <c r="M390" i="8"/>
  <c r="M449" i="8"/>
  <c r="M444" i="8"/>
  <c r="M385" i="8"/>
  <c r="M392" i="8"/>
  <c r="M396" i="8"/>
  <c r="M391" i="8"/>
  <c r="M361" i="8"/>
  <c r="M383" i="8"/>
  <c r="M382" i="8"/>
  <c r="M345" i="8"/>
  <c r="M344" i="8"/>
  <c r="M342" i="8"/>
  <c r="M339" i="8"/>
  <c r="M387" i="8"/>
  <c r="M394" i="8"/>
  <c r="M389" i="8"/>
  <c r="M407" i="8"/>
  <c r="M414" i="8"/>
  <c r="M423" i="8"/>
  <c r="M438" i="8"/>
  <c r="M352" i="8"/>
  <c r="M433" i="8"/>
  <c r="M420" i="8"/>
  <c r="M400" i="8"/>
  <c r="M393" i="8"/>
  <c r="M402" i="8"/>
  <c r="M347" i="8"/>
  <c r="M453" i="8"/>
  <c r="M409" i="8"/>
  <c r="M337" i="8"/>
  <c r="M63" i="8" s="1"/>
  <c r="M379" i="8"/>
  <c r="M343" i="8"/>
  <c r="M380" i="8"/>
  <c r="M340" i="8"/>
  <c r="M64" i="8" s="1"/>
  <c r="M381" i="8"/>
  <c r="M378" i="8"/>
  <c r="M334" i="8"/>
  <c r="M373" i="8"/>
  <c r="M439" i="8"/>
  <c r="M65" i="8" s="1"/>
  <c r="M42" i="8" s="1"/>
  <c r="M346" i="8"/>
  <c r="M374" i="8"/>
  <c r="M349" i="8"/>
  <c r="M369" i="8"/>
  <c r="M368" i="8"/>
  <c r="M363" i="8"/>
  <c r="M364" i="8"/>
  <c r="Q89" i="14"/>
  <c r="L62" i="8"/>
  <c r="L66" i="8" s="1"/>
  <c r="Q9" i="14"/>
  <c r="Q88" i="14" s="1"/>
  <c r="M77" i="14"/>
  <c r="M76" i="14"/>
  <c r="M80" i="14" s="1"/>
  <c r="M111" i="14"/>
  <c r="M89" i="14"/>
  <c r="P89" i="14" s="1"/>
  <c r="M88" i="14"/>
  <c r="P88" i="14" s="1"/>
  <c r="M183" i="14"/>
  <c r="M92" i="14" s="1"/>
  <c r="M90" i="14"/>
  <c r="P90" i="14" s="1"/>
  <c r="R99" i="33"/>
  <c r="E99" i="33" s="1"/>
  <c r="AD20" i="33"/>
  <c r="D20" i="33" s="1"/>
  <c r="R121" i="33"/>
  <c r="E121" i="33" s="1"/>
  <c r="Q98" i="33"/>
  <c r="D98" i="33" s="1"/>
  <c r="AH105" i="33"/>
  <c r="BV16" i="12"/>
  <c r="Q7" i="33"/>
  <c r="D7" i="33" s="1"/>
  <c r="Q8" i="33"/>
  <c r="D8" i="33" s="1"/>
  <c r="AD16" i="12"/>
  <c r="E29" i="32"/>
  <c r="AD9" i="33"/>
  <c r="D9" i="33" s="1"/>
  <c r="AS16" i="12"/>
  <c r="AE16" i="12"/>
  <c r="BH16" i="12"/>
  <c r="Q16" i="12"/>
  <c r="BG16" i="12"/>
  <c r="AR16" i="12"/>
  <c r="AH35" i="33"/>
  <c r="AH59" i="33"/>
  <c r="AL80" i="33"/>
  <c r="AH34" i="33"/>
  <c r="AH33" i="33"/>
  <c r="AH61" i="33"/>
  <c r="AH60" i="33"/>
  <c r="K210" i="26"/>
  <c r="K46" i="26" s="1"/>
  <c r="K212" i="26"/>
  <c r="BW98" i="12"/>
  <c r="L5" i="26"/>
  <c r="L215" i="26" s="1"/>
  <c r="K217" i="26"/>
  <c r="K216" i="26"/>
  <c r="K214" i="26"/>
  <c r="K213" i="26"/>
  <c r="D94" i="33"/>
  <c r="I218" i="29"/>
  <c r="L204" i="32"/>
  <c r="AK169" i="33" s="1"/>
  <c r="BX123" i="12"/>
  <c r="N7" i="28"/>
  <c r="BW125" i="12"/>
  <c r="R144" i="12"/>
  <c r="N99" i="32"/>
  <c r="AM80" i="33" s="1"/>
  <c r="BX127" i="12"/>
  <c r="BW94" i="12"/>
  <c r="BW128" i="12"/>
  <c r="M101" i="32"/>
  <c r="AL82" i="33" s="1"/>
  <c r="J28" i="32"/>
  <c r="J121" i="32"/>
  <c r="AI101" i="33" s="1"/>
  <c r="J123" i="32"/>
  <c r="AI103" i="33" s="1"/>
  <c r="J134" i="32"/>
  <c r="AI114" i="33" s="1"/>
  <c r="J122" i="32"/>
  <c r="AI102" i="33" s="1"/>
  <c r="J141" i="32"/>
  <c r="AI121" i="33" s="1"/>
  <c r="J115" i="32"/>
  <c r="AI95" i="33" s="1"/>
  <c r="J120" i="32"/>
  <c r="AI100" i="33" s="1"/>
  <c r="J124" i="32"/>
  <c r="AI104" i="33" s="1"/>
  <c r="J109" i="32"/>
  <c r="AI89" i="33" s="1"/>
  <c r="AI63" i="33"/>
  <c r="BX5" i="12"/>
  <c r="BS34" i="12"/>
  <c r="BS33" i="12"/>
  <c r="BF143" i="12"/>
  <c r="BF142" i="12"/>
  <c r="BF35" i="12"/>
  <c r="BF34" i="12"/>
  <c r="BF33" i="12"/>
  <c r="BX122" i="12"/>
  <c r="BX104" i="12"/>
  <c r="AR73" i="12"/>
  <c r="AR66" i="12"/>
  <c r="E108" i="28"/>
  <c r="AQ88" i="12" s="1"/>
  <c r="AQ86" i="12"/>
  <c r="J140" i="32"/>
  <c r="AI120" i="33" s="1"/>
  <c r="S143" i="12"/>
  <c r="S35" i="12"/>
  <c r="S141" i="12"/>
  <c r="AE141" i="12"/>
  <c r="AE144" i="12"/>
  <c r="AF33" i="12"/>
  <c r="AQ141" i="12"/>
  <c r="E164" i="28"/>
  <c r="AQ144" i="12" s="1"/>
  <c r="AR144" i="12"/>
  <c r="AR141" i="12"/>
  <c r="AF143" i="12"/>
  <c r="N6" i="32"/>
  <c r="M61" i="32"/>
  <c r="AL42" i="33" s="1"/>
  <c r="AD141" i="12"/>
  <c r="E164" i="27"/>
  <c r="AD144" i="12" s="1"/>
  <c r="BH122" i="12"/>
  <c r="BH126" i="12"/>
  <c r="BH95" i="12"/>
  <c r="BH98" i="12"/>
  <c r="BH115" i="12"/>
  <c r="I126" i="32"/>
  <c r="H185" i="27"/>
  <c r="I96" i="32"/>
  <c r="AH77" i="33" s="1"/>
  <c r="H34" i="28"/>
  <c r="J78" i="32"/>
  <c r="J79" i="32"/>
  <c r="J80" i="32"/>
  <c r="BI124" i="12"/>
  <c r="BI91" i="12"/>
  <c r="AS143" i="12"/>
  <c r="AS142" i="12"/>
  <c r="AS35" i="12"/>
  <c r="AS34" i="12"/>
  <c r="AS33" i="12"/>
  <c r="BX95" i="12"/>
  <c r="BX90" i="12"/>
  <c r="BX124" i="12"/>
  <c r="BX116" i="12"/>
  <c r="E92" i="27"/>
  <c r="AD73" i="12" s="1"/>
  <c r="AD66" i="12"/>
  <c r="AQ148" i="12"/>
  <c r="E173" i="28"/>
  <c r="AQ153" i="12" s="1"/>
  <c r="AE88" i="12"/>
  <c r="AE87" i="12"/>
  <c r="J139" i="32"/>
  <c r="AI119" i="33" s="1"/>
  <c r="S142" i="12"/>
  <c r="S33" i="12"/>
  <c r="S34" i="12"/>
  <c r="AF34" i="12"/>
  <c r="BR141" i="12"/>
  <c r="BR35" i="12"/>
  <c r="AF142" i="12"/>
  <c r="Q141" i="12"/>
  <c r="E164" i="26"/>
  <c r="Q144" i="12" s="1"/>
  <c r="BE35" i="12"/>
  <c r="BE141" i="12"/>
  <c r="BH94" i="12"/>
  <c r="BH90" i="12"/>
  <c r="I118" i="32"/>
  <c r="AH98" i="33" s="1"/>
  <c r="AF35" i="12"/>
  <c r="R89" i="12"/>
  <c r="E89" i="12" s="1"/>
  <c r="Q110" i="12"/>
  <c r="D110" i="12" s="1"/>
  <c r="Q108" i="12"/>
  <c r="D108" i="12" s="1"/>
  <c r="Q139" i="12"/>
  <c r="D139" i="12" s="1"/>
  <c r="Q87" i="12"/>
  <c r="D87" i="12" s="1"/>
  <c r="Q132" i="12"/>
  <c r="D132" i="12" s="1"/>
  <c r="Q133" i="12"/>
  <c r="D133" i="12" s="1"/>
  <c r="Q131" i="12"/>
  <c r="D131" i="12" s="1"/>
  <c r="Q138" i="12"/>
  <c r="D138" i="12" s="1"/>
  <c r="Q109" i="12"/>
  <c r="D109" i="12" s="1"/>
  <c r="Q75" i="12"/>
  <c r="Q134" i="12"/>
  <c r="D134" i="12" s="1"/>
  <c r="Q72" i="12"/>
  <c r="Q103" i="12"/>
  <c r="D103" i="12" s="1"/>
  <c r="Q130" i="12"/>
  <c r="D130" i="12" s="1"/>
  <c r="Q135" i="12"/>
  <c r="D135" i="12" s="1"/>
  <c r="Q152" i="12"/>
  <c r="D152" i="12" s="1"/>
  <c r="Q151" i="12"/>
  <c r="D151" i="12" s="1"/>
  <c r="Q149" i="12"/>
  <c r="D149" i="12" s="1"/>
  <c r="Q150" i="12"/>
  <c r="D150" i="12" s="1"/>
  <c r="E61" i="27"/>
  <c r="AD42" i="12" s="1"/>
  <c r="AD24" i="12"/>
  <c r="E67" i="27"/>
  <c r="AD48" i="12" s="1"/>
  <c r="AD30" i="12"/>
  <c r="E64" i="27"/>
  <c r="AD45" i="12" s="1"/>
  <c r="AD27" i="12"/>
  <c r="Q80" i="12"/>
  <c r="Q60" i="12"/>
  <c r="D60" i="12" s="1"/>
  <c r="Q59" i="12"/>
  <c r="Q79" i="12"/>
  <c r="E59" i="27"/>
  <c r="AD40" i="12" s="1"/>
  <c r="AD32" i="12"/>
  <c r="Q81" i="12"/>
  <c r="Q61" i="12"/>
  <c r="D61" i="12" s="1"/>
  <c r="G61" i="27"/>
  <c r="AF42" i="12" s="1"/>
  <c r="AF24" i="12"/>
  <c r="AE25" i="12"/>
  <c r="AE24" i="12"/>
  <c r="F59" i="26"/>
  <c r="R40" i="12" s="1"/>
  <c r="R32" i="12"/>
  <c r="F75" i="26"/>
  <c r="R56" i="12" s="1"/>
  <c r="R23" i="12"/>
  <c r="F63" i="26"/>
  <c r="R44" i="12" s="1"/>
  <c r="R26" i="12"/>
  <c r="AR77" i="12"/>
  <c r="AR74" i="12"/>
  <c r="F60" i="28"/>
  <c r="AR41" i="12" s="1"/>
  <c r="AR23" i="12"/>
  <c r="E64" i="28"/>
  <c r="AQ45" i="12" s="1"/>
  <c r="AQ27" i="12"/>
  <c r="F61" i="28"/>
  <c r="AR42" i="12" s="1"/>
  <c r="AR24" i="12"/>
  <c r="E61" i="28"/>
  <c r="AQ42" i="12" s="1"/>
  <c r="AQ24" i="12"/>
  <c r="E67" i="28"/>
  <c r="AQ48" i="12" s="1"/>
  <c r="AQ30" i="12"/>
  <c r="E59" i="28"/>
  <c r="AQ40" i="12" s="1"/>
  <c r="AQ32" i="12"/>
  <c r="F59" i="28"/>
  <c r="AR40" i="12" s="1"/>
  <c r="AR32" i="12"/>
  <c r="F63" i="28"/>
  <c r="AR44" i="12" s="1"/>
  <c r="AR26" i="12"/>
  <c r="Q105" i="12"/>
  <c r="D105" i="12" s="1"/>
  <c r="H185" i="26"/>
  <c r="F142" i="32"/>
  <c r="F144" i="32"/>
  <c r="F147" i="32"/>
  <c r="F166" i="32"/>
  <c r="F127" i="32"/>
  <c r="F129" i="32"/>
  <c r="BR109" i="12" s="1"/>
  <c r="F131" i="32"/>
  <c r="BR111" i="12" s="1"/>
  <c r="F143" i="32"/>
  <c r="F146" i="32"/>
  <c r="F165" i="32"/>
  <c r="F128" i="32"/>
  <c r="BR108" i="12" s="1"/>
  <c r="F130" i="32"/>
  <c r="BR110" i="12" s="1"/>
  <c r="F132" i="32"/>
  <c r="BR112" i="12" s="1"/>
  <c r="F135" i="32"/>
  <c r="F136" i="32"/>
  <c r="F137" i="32"/>
  <c r="BR64" i="12"/>
  <c r="F86" i="32"/>
  <c r="AE67" i="33" s="1"/>
  <c r="L29" i="21"/>
  <c r="F59" i="27"/>
  <c r="AE40" i="12" s="1"/>
  <c r="J53" i="32"/>
  <c r="J52" i="32"/>
  <c r="J54" i="32"/>
  <c r="AH27" i="33"/>
  <c r="H64" i="32"/>
  <c r="AG45" i="33" s="1"/>
  <c r="AE77" i="12"/>
  <c r="E101" i="27"/>
  <c r="AD82" i="12" s="1"/>
  <c r="E108" i="27"/>
  <c r="AD88" i="12" s="1"/>
  <c r="BF32" i="12"/>
  <c r="BF59" i="12"/>
  <c r="BF72" i="12"/>
  <c r="BF78" i="12"/>
  <c r="BF84" i="12"/>
  <c r="BF100" i="12"/>
  <c r="BF120" i="12"/>
  <c r="BF129" i="12"/>
  <c r="BF133" i="12"/>
  <c r="BF137" i="12"/>
  <c r="BF149" i="12"/>
  <c r="BF63" i="12"/>
  <c r="BF81" i="12"/>
  <c r="BF87" i="12"/>
  <c r="BF130" i="12"/>
  <c r="BF138" i="12"/>
  <c r="BF152" i="12"/>
  <c r="BF26" i="12"/>
  <c r="BF85" i="12"/>
  <c r="BF103" i="12"/>
  <c r="BF136" i="12"/>
  <c r="BF150" i="12"/>
  <c r="BF61" i="12"/>
  <c r="BF75" i="12"/>
  <c r="BF80" i="12"/>
  <c r="BF86" i="12"/>
  <c r="BF131" i="12"/>
  <c r="BF135" i="12"/>
  <c r="BF139" i="12"/>
  <c r="BF151" i="12"/>
  <c r="BF83" i="12"/>
  <c r="BF89" i="12"/>
  <c r="BF114" i="12"/>
  <c r="BF134" i="12"/>
  <c r="BF148" i="12"/>
  <c r="BF60" i="12"/>
  <c r="BF79" i="12"/>
  <c r="BF119" i="12"/>
  <c r="BF132" i="12"/>
  <c r="AE73" i="12"/>
  <c r="F61" i="27"/>
  <c r="R73" i="12"/>
  <c r="R82" i="12"/>
  <c r="R153" i="12"/>
  <c r="AR140" i="12"/>
  <c r="AR153" i="12"/>
  <c r="AE82" i="12"/>
  <c r="AE140" i="12"/>
  <c r="AE153" i="12"/>
  <c r="R77" i="12"/>
  <c r="F60" i="26"/>
  <c r="R140" i="12"/>
  <c r="AR82" i="12"/>
  <c r="R88" i="12"/>
  <c r="AR88" i="12"/>
  <c r="F63" i="27"/>
  <c r="AE44" i="12" s="1"/>
  <c r="E63" i="28"/>
  <c r="E47" i="28"/>
  <c r="AQ28" i="12" s="1"/>
  <c r="E133" i="28"/>
  <c r="AQ113" i="12" s="1"/>
  <c r="E160" i="28"/>
  <c r="AQ140" i="12" s="1"/>
  <c r="E50" i="28"/>
  <c r="AQ31" i="12" s="1"/>
  <c r="E66" i="28"/>
  <c r="E60" i="28"/>
  <c r="AQ25" i="12"/>
  <c r="E92" i="28"/>
  <c r="AQ73" i="12" s="1"/>
  <c r="E96" i="28"/>
  <c r="AQ77" i="12" s="1"/>
  <c r="E101" i="28"/>
  <c r="AQ82" i="12" s="1"/>
  <c r="E126" i="28"/>
  <c r="E66" i="27"/>
  <c r="E50" i="27"/>
  <c r="AD31" i="12" s="1"/>
  <c r="E160" i="27"/>
  <c r="AD140" i="12" s="1"/>
  <c r="E173" i="26"/>
  <c r="Q153" i="12" s="1"/>
  <c r="E59" i="26"/>
  <c r="E92" i="26"/>
  <c r="Q73" i="12" s="1"/>
  <c r="E61" i="26"/>
  <c r="E47" i="26"/>
  <c r="Q28" i="12" s="1"/>
  <c r="E63" i="26"/>
  <c r="Q44" i="12" s="1"/>
  <c r="E64" i="26"/>
  <c r="E101" i="26"/>
  <c r="Q82" i="12" s="1"/>
  <c r="E126" i="26"/>
  <c r="E133" i="26"/>
  <c r="Q113" i="12" s="1"/>
  <c r="E126" i="27"/>
  <c r="AD25" i="12"/>
  <c r="E60" i="27"/>
  <c r="E47" i="27"/>
  <c r="AD28" i="12" s="1"/>
  <c r="E63" i="27"/>
  <c r="E173" i="27"/>
  <c r="AD153" i="12" s="1"/>
  <c r="E96" i="27"/>
  <c r="AD77" i="12" s="1"/>
  <c r="E160" i="26"/>
  <c r="Q140" i="12" s="1"/>
  <c r="Q25" i="12"/>
  <c r="E60" i="26"/>
  <c r="Q41" i="12" s="1"/>
  <c r="E67" i="26"/>
  <c r="E50" i="26"/>
  <c r="Q31" i="12" s="1"/>
  <c r="E66" i="26"/>
  <c r="Q47" i="12" s="1"/>
  <c r="E108" i="26"/>
  <c r="E96" i="26"/>
  <c r="Q77" i="12" s="1"/>
  <c r="L94" i="14"/>
  <c r="E133" i="27"/>
  <c r="AD113" i="12" s="1"/>
  <c r="G60" i="26"/>
  <c r="S41" i="12" s="1"/>
  <c r="AS59" i="12"/>
  <c r="AS72" i="12"/>
  <c r="AS78" i="12"/>
  <c r="AS84" i="12"/>
  <c r="AS89" i="12"/>
  <c r="AS103" i="12"/>
  <c r="AS63" i="12"/>
  <c r="AS81" i="12"/>
  <c r="AS100" i="12"/>
  <c r="AS114" i="12"/>
  <c r="AS120" i="12"/>
  <c r="AS129" i="12"/>
  <c r="AS133" i="12"/>
  <c r="AS137" i="12"/>
  <c r="AS149" i="12"/>
  <c r="AS23" i="12"/>
  <c r="AS60" i="12"/>
  <c r="AS83" i="12"/>
  <c r="AS130" i="12"/>
  <c r="AS138" i="12"/>
  <c r="AS152" i="12"/>
  <c r="AS87" i="12"/>
  <c r="AS136" i="12"/>
  <c r="AS150" i="12"/>
  <c r="AS61" i="12"/>
  <c r="AS66" i="12"/>
  <c r="AS75" i="12"/>
  <c r="AS80" i="12"/>
  <c r="AS86" i="12"/>
  <c r="AS105" i="12"/>
  <c r="AS74" i="12"/>
  <c r="AS85" i="12"/>
  <c r="AS131" i="12"/>
  <c r="AS135" i="12"/>
  <c r="AS139" i="12"/>
  <c r="AS151" i="12"/>
  <c r="AS119" i="12"/>
  <c r="AS134" i="12"/>
  <c r="AS148" i="12"/>
  <c r="AS79" i="12"/>
  <c r="AS132" i="12"/>
  <c r="AF139" i="12"/>
  <c r="AF75" i="12"/>
  <c r="AF135" i="12"/>
  <c r="AF133" i="12"/>
  <c r="AF103" i="12"/>
  <c r="AF86" i="12"/>
  <c r="AF150" i="12"/>
  <c r="AF136" i="12"/>
  <c r="AF132" i="12"/>
  <c r="AF114" i="12"/>
  <c r="AF81" i="12"/>
  <c r="AF60" i="12"/>
  <c r="AF129" i="12"/>
  <c r="AF120" i="12"/>
  <c r="AF100" i="12"/>
  <c r="AF89" i="12"/>
  <c r="AF85" i="12"/>
  <c r="AF80" i="12"/>
  <c r="AF63" i="12"/>
  <c r="AF66" i="12"/>
  <c r="AF61" i="12"/>
  <c r="AF32" i="12"/>
  <c r="S150" i="12"/>
  <c r="S137" i="12"/>
  <c r="S129" i="12"/>
  <c r="S114" i="12"/>
  <c r="S83" i="12"/>
  <c r="S66" i="12"/>
  <c r="S26" i="12"/>
  <c r="S148" i="12"/>
  <c r="S135" i="12"/>
  <c r="S85" i="12"/>
  <c r="S74" i="12"/>
  <c r="S60" i="12"/>
  <c r="S151" i="12"/>
  <c r="S138" i="12"/>
  <c r="S134" i="12"/>
  <c r="S130" i="12"/>
  <c r="S119" i="12"/>
  <c r="S118" i="12"/>
  <c r="S105" i="12"/>
  <c r="S86" i="12"/>
  <c r="S81" i="12"/>
  <c r="S75" i="12"/>
  <c r="S61" i="12"/>
  <c r="BW6" i="12"/>
  <c r="BW65" i="12"/>
  <c r="AF151" i="12"/>
  <c r="AF131" i="12"/>
  <c r="AF149" i="12"/>
  <c r="AF137" i="12"/>
  <c r="AF119" i="12"/>
  <c r="AF79" i="12"/>
  <c r="AF152" i="12"/>
  <c r="AF148" i="12"/>
  <c r="AF138" i="12"/>
  <c r="AF134" i="12"/>
  <c r="AF130" i="12"/>
  <c r="AF105" i="12"/>
  <c r="AF98" i="12"/>
  <c r="AF84" i="12"/>
  <c r="AF87" i="12"/>
  <c r="AF83" i="12"/>
  <c r="AF78" i="12"/>
  <c r="AF72" i="12"/>
  <c r="AF59" i="12"/>
  <c r="AF23" i="12"/>
  <c r="S133" i="12"/>
  <c r="S120" i="12"/>
  <c r="S87" i="12"/>
  <c r="S78" i="12"/>
  <c r="S152" i="12"/>
  <c r="S139" i="12"/>
  <c r="S131" i="12"/>
  <c r="S100" i="12"/>
  <c r="S80" i="12"/>
  <c r="S72" i="12"/>
  <c r="S149" i="12"/>
  <c r="S136" i="12"/>
  <c r="S132" i="12"/>
  <c r="S128" i="12"/>
  <c r="S103" i="12"/>
  <c r="S89" i="12"/>
  <c r="S79" i="12"/>
  <c r="S63" i="12"/>
  <c r="S59" i="12"/>
  <c r="AG67" i="12"/>
  <c r="AG71" i="12"/>
  <c r="AG68" i="12"/>
  <c r="AG90" i="12"/>
  <c r="AG92" i="12"/>
  <c r="AG95" i="12"/>
  <c r="AG99" i="12"/>
  <c r="AG116" i="12"/>
  <c r="AG127" i="12"/>
  <c r="AG122" i="12"/>
  <c r="AG147" i="12"/>
  <c r="AG124" i="12"/>
  <c r="AG117" i="12"/>
  <c r="T70" i="12"/>
  <c r="T97" i="12"/>
  <c r="T104" i="12"/>
  <c r="T146" i="12"/>
  <c r="T123" i="12"/>
  <c r="T126" i="12"/>
  <c r="T71" i="12"/>
  <c r="T96" i="12"/>
  <c r="T121" i="12"/>
  <c r="H184" i="32"/>
  <c r="H184" i="28"/>
  <c r="H184" i="30"/>
  <c r="H78" i="30" s="1"/>
  <c r="H184" i="27"/>
  <c r="H184" i="29"/>
  <c r="H184" i="26"/>
  <c r="N205" i="29"/>
  <c r="N51" i="4" s="1"/>
  <c r="J218" i="30"/>
  <c r="L205" i="26"/>
  <c r="L18" i="4" s="1"/>
  <c r="M11" i="30"/>
  <c r="K9" i="28"/>
  <c r="K11" i="29"/>
  <c r="O6" i="30"/>
  <c r="N7" i="27"/>
  <c r="O6" i="27"/>
  <c r="N7" i="30"/>
  <c r="O6" i="28"/>
  <c r="F34" i="26"/>
  <c r="AW171" i="12"/>
  <c r="H169" i="33"/>
  <c r="H171" i="33" s="1"/>
  <c r="L18" i="30"/>
  <c r="L33" i="30" s="1"/>
  <c r="BX15" i="12" s="1"/>
  <c r="K34" i="30"/>
  <c r="J210" i="27"/>
  <c r="J46" i="27" s="1"/>
  <c r="J211" i="27"/>
  <c r="J217" i="27"/>
  <c r="J215" i="27"/>
  <c r="J216" i="27"/>
  <c r="J214" i="27"/>
  <c r="J213" i="27"/>
  <c r="J209" i="27"/>
  <c r="J43" i="27" s="1"/>
  <c r="J212" i="27"/>
  <c r="P196" i="29"/>
  <c r="N195" i="26"/>
  <c r="N189" i="32"/>
  <c r="N98" i="32" s="1"/>
  <c r="AM79" i="33" s="1"/>
  <c r="O194" i="32"/>
  <c r="M203" i="32"/>
  <c r="M197" i="26"/>
  <c r="M204" i="26" s="1"/>
  <c r="J209" i="28"/>
  <c r="J213" i="28"/>
  <c r="J214" i="28"/>
  <c r="J216" i="28"/>
  <c r="J217" i="28"/>
  <c r="J215" i="28"/>
  <c r="J210" i="28"/>
  <c r="J46" i="28" s="1"/>
  <c r="J212" i="28"/>
  <c r="J211" i="28"/>
  <c r="CA171" i="12"/>
  <c r="K213" i="30"/>
  <c r="K212" i="30"/>
  <c r="K209" i="30"/>
  <c r="K42" i="30" s="1"/>
  <c r="K44" i="30" s="1"/>
  <c r="K211" i="30"/>
  <c r="K48" i="30" s="1"/>
  <c r="K50" i="30" s="1"/>
  <c r="K215" i="30"/>
  <c r="K217" i="30"/>
  <c r="K214" i="30"/>
  <c r="K210" i="30"/>
  <c r="K46" i="30" s="1"/>
  <c r="K47" i="30" s="1"/>
  <c r="K216" i="30"/>
  <c r="L5" i="30"/>
  <c r="J211" i="29"/>
  <c r="J48" i="29" s="1"/>
  <c r="J50" i="29" s="1"/>
  <c r="J210" i="29"/>
  <c r="J46" i="29" s="1"/>
  <c r="J47" i="29" s="1"/>
  <c r="J216" i="29"/>
  <c r="J217" i="29"/>
  <c r="J213" i="29"/>
  <c r="J214" i="29"/>
  <c r="J209" i="29"/>
  <c r="J42" i="29" s="1"/>
  <c r="J44" i="29" s="1"/>
  <c r="J215" i="29"/>
  <c r="J212" i="29"/>
  <c r="K5" i="29"/>
  <c r="O190" i="32"/>
  <c r="J214" i="32"/>
  <c r="J216" i="32"/>
  <c r="J213" i="32"/>
  <c r="J209" i="32"/>
  <c r="J215" i="32"/>
  <c r="J212" i="32"/>
  <c r="J211" i="32"/>
  <c r="J210" i="32"/>
  <c r="J217" i="32"/>
  <c r="K5" i="32"/>
  <c r="O193" i="26"/>
  <c r="N203" i="26"/>
  <c r="O189" i="26"/>
  <c r="I218" i="27"/>
  <c r="L204" i="27"/>
  <c r="AK169" i="12" s="1"/>
  <c r="K27" i="21" s="1"/>
  <c r="BN168" i="12"/>
  <c r="P199" i="29"/>
  <c r="P200" i="29" s="1"/>
  <c r="F17" i="32"/>
  <c r="F19" i="32"/>
  <c r="F20" i="32"/>
  <c r="T164" i="33"/>
  <c r="G164" i="33" s="1"/>
  <c r="I181" i="26"/>
  <c r="I182" i="26" s="1"/>
  <c r="I218" i="28"/>
  <c r="N6" i="29"/>
  <c r="M7" i="29"/>
  <c r="BM171" i="12"/>
  <c r="M29" i="21"/>
  <c r="P203" i="29"/>
  <c r="P197" i="29"/>
  <c r="BN170" i="12"/>
  <c r="N10" i="29"/>
  <c r="O204" i="29"/>
  <c r="M9" i="29"/>
  <c r="N8" i="29"/>
  <c r="P202" i="29"/>
  <c r="CB168" i="12"/>
  <c r="O4" i="30"/>
  <c r="P204" i="30"/>
  <c r="N8" i="30"/>
  <c r="M9" i="30"/>
  <c r="K5" i="28"/>
  <c r="O194" i="28"/>
  <c r="O191" i="28"/>
  <c r="N202" i="28"/>
  <c r="M10" i="28"/>
  <c r="L11" i="28"/>
  <c r="O193" i="28"/>
  <c r="P190" i="28"/>
  <c r="P4" i="28"/>
  <c r="M204" i="28"/>
  <c r="N203" i="28"/>
  <c r="N197" i="28"/>
  <c r="L205" i="28"/>
  <c r="L40" i="4" s="1"/>
  <c r="AY170" i="12"/>
  <c r="O192" i="28"/>
  <c r="O196" i="28"/>
  <c r="O195" i="28"/>
  <c r="BA168" i="12"/>
  <c r="AX169" i="12"/>
  <c r="O8" i="28"/>
  <c r="N199" i="27"/>
  <c r="N200" i="27" s="1"/>
  <c r="O188" i="27"/>
  <c r="O28" i="4" s="1"/>
  <c r="N195" i="27"/>
  <c r="M11" i="27"/>
  <c r="N10" i="27"/>
  <c r="N193" i="27"/>
  <c r="L9" i="27"/>
  <c r="M8" i="27"/>
  <c r="O4" i="27"/>
  <c r="AJ169" i="12"/>
  <c r="J169" i="12" s="1"/>
  <c r="M202" i="27"/>
  <c r="AL170" i="12" s="1"/>
  <c r="N191" i="27"/>
  <c r="H36" i="21"/>
  <c r="M197" i="27"/>
  <c r="AL168" i="12"/>
  <c r="P190" i="27"/>
  <c r="AI171" i="12"/>
  <c r="I171" i="12" s="1"/>
  <c r="I27" i="21"/>
  <c r="I24" i="21" s="1"/>
  <c r="V169" i="33"/>
  <c r="K5" i="27"/>
  <c r="P203" i="27"/>
  <c r="N192" i="27"/>
  <c r="N194" i="27"/>
  <c r="N196" i="27"/>
  <c r="K205" i="27"/>
  <c r="K29" i="4" s="1"/>
  <c r="K11" i="32"/>
  <c r="O188" i="26"/>
  <c r="N199" i="26"/>
  <c r="N200" i="26" s="1"/>
  <c r="L11" i="26"/>
  <c r="M10" i="26"/>
  <c r="M9" i="26"/>
  <c r="N8" i="26"/>
  <c r="O192" i="26"/>
  <c r="Y168" i="12"/>
  <c r="X168" i="33"/>
  <c r="J168" i="33"/>
  <c r="N4" i="26"/>
  <c r="O6" i="26"/>
  <c r="N7" i="26"/>
  <c r="N196" i="26"/>
  <c r="O190" i="26"/>
  <c r="N194" i="26"/>
  <c r="X169" i="12"/>
  <c r="N202" i="26"/>
  <c r="Z170" i="12" s="1"/>
  <c r="O191" i="26"/>
  <c r="J26" i="21"/>
  <c r="J25" i="21"/>
  <c r="M7" i="32"/>
  <c r="O191" i="32"/>
  <c r="O188" i="32"/>
  <c r="N196" i="32"/>
  <c r="N197" i="32" s="1"/>
  <c r="K9" i="32"/>
  <c r="AJ171" i="33"/>
  <c r="N4" i="32"/>
  <c r="Q240" i="8"/>
  <c r="Q241" i="8"/>
  <c r="J7" i="4"/>
  <c r="J6" i="4"/>
  <c r="P235" i="8"/>
  <c r="I7" i="4"/>
  <c r="I8" i="4" s="1"/>
  <c r="I184" i="34" s="1"/>
  <c r="P236" i="8"/>
  <c r="K109" i="8"/>
  <c r="K111" i="8" s="1"/>
  <c r="K168" i="8" s="1"/>
  <c r="K169" i="8" s="1"/>
  <c r="K83" i="8"/>
  <c r="K85" i="8"/>
  <c r="K88" i="8"/>
  <c r="K84" i="8"/>
  <c r="K86" i="8"/>
  <c r="K160" i="8"/>
  <c r="K71" i="8"/>
  <c r="K203" i="8"/>
  <c r="L202" i="8"/>
  <c r="L102" i="8"/>
  <c r="L103" i="8"/>
  <c r="L94" i="8"/>
  <c r="L107" i="8"/>
  <c r="L201" i="8"/>
  <c r="L96" i="8"/>
  <c r="L98" i="8"/>
  <c r="L100" i="8"/>
  <c r="L101" i="8"/>
  <c r="L128" i="8"/>
  <c r="L97" i="8"/>
  <c r="L93" i="8"/>
  <c r="L95" i="8"/>
  <c r="L99" i="8"/>
  <c r="J34" i="29"/>
  <c r="Q202" i="8"/>
  <c r="Q201" i="8"/>
  <c r="AT6" i="12"/>
  <c r="L68" i="8"/>
  <c r="L75" i="8" s="1"/>
  <c r="M195" i="8"/>
  <c r="M197" i="8" s="1"/>
  <c r="M358" i="8"/>
  <c r="M56" i="8" s="1"/>
  <c r="M60" i="8" s="1"/>
  <c r="P71" i="8"/>
  <c r="P203" i="8"/>
  <c r="H20" i="26"/>
  <c r="H17" i="26"/>
  <c r="H23" i="26" s="1"/>
  <c r="H83" i="26" s="1"/>
  <c r="H19" i="26"/>
  <c r="AH165" i="12"/>
  <c r="I181" i="27"/>
  <c r="I182" i="27" s="1"/>
  <c r="G181" i="32"/>
  <c r="G182" i="32" s="1"/>
  <c r="G113" i="32" s="1"/>
  <c r="AF93" i="33" s="1"/>
  <c r="S165" i="33"/>
  <c r="AV165" i="12"/>
  <c r="J181" i="28"/>
  <c r="K33" i="4"/>
  <c r="K34" i="4" s="1"/>
  <c r="AW166" i="12"/>
  <c r="J19" i="21" s="1"/>
  <c r="J38" i="21"/>
  <c r="BK166" i="12"/>
  <c r="K20" i="21" s="1"/>
  <c r="BY166" i="12"/>
  <c r="L21" i="21" s="1"/>
  <c r="L39" i="21" s="1"/>
  <c r="F218" i="32"/>
  <c r="AI165" i="12"/>
  <c r="J181" i="27"/>
  <c r="H17" i="27"/>
  <c r="H19" i="27"/>
  <c r="H20" i="27"/>
  <c r="J185" i="32"/>
  <c r="J95" i="32" s="1"/>
  <c r="AI76" i="33" s="1"/>
  <c r="K11" i="4"/>
  <c r="W166" i="12"/>
  <c r="H35" i="21"/>
  <c r="S12" i="12"/>
  <c r="G26" i="26"/>
  <c r="S8" i="12" s="1"/>
  <c r="S9" i="12"/>
  <c r="S7" i="12"/>
  <c r="G18" i="26"/>
  <c r="J218" i="26"/>
  <c r="I37" i="21"/>
  <c r="AV164" i="12"/>
  <c r="J180" i="28"/>
  <c r="AU165" i="12"/>
  <c r="I181" i="28"/>
  <c r="I182" i="28" s="1"/>
  <c r="I113" i="28" s="1"/>
  <c r="BJ165" i="12"/>
  <c r="K181" i="29"/>
  <c r="L168" i="15"/>
  <c r="BJ164" i="12"/>
  <c r="K180" i="29"/>
  <c r="L167" i="15"/>
  <c r="J180" i="27"/>
  <c r="AI164" i="12"/>
  <c r="K22" i="4"/>
  <c r="AJ166" i="12"/>
  <c r="J18" i="21" s="1"/>
  <c r="AF7" i="12"/>
  <c r="AF12" i="12"/>
  <c r="G18" i="27"/>
  <c r="AF8" i="12"/>
  <c r="I17" i="21"/>
  <c r="J181" i="26"/>
  <c r="V165" i="12"/>
  <c r="V164" i="12"/>
  <c r="J180" i="26"/>
  <c r="H33" i="21"/>
  <c r="L168" i="12" l="1"/>
  <c r="L138" i="30"/>
  <c r="L133" i="30"/>
  <c r="I45" i="27"/>
  <c r="I47" i="27" s="1"/>
  <c r="I136" i="27"/>
  <c r="I137" i="27"/>
  <c r="I42" i="27"/>
  <c r="I44" i="27" s="1"/>
  <c r="I48" i="27"/>
  <c r="I50" i="27" s="1"/>
  <c r="I113" i="27"/>
  <c r="AG35" i="12"/>
  <c r="H26" i="27"/>
  <c r="H29" i="27" s="1"/>
  <c r="H23" i="27"/>
  <c r="H83" i="27" s="1"/>
  <c r="O17" i="4"/>
  <c r="I45" i="26"/>
  <c r="I47" i="26" s="1"/>
  <c r="I42" i="26"/>
  <c r="I44" i="26" s="1"/>
  <c r="I48" i="26"/>
  <c r="I50" i="26" s="1"/>
  <c r="I113" i="26"/>
  <c r="I67" i="32"/>
  <c r="AH48" i="33" s="1"/>
  <c r="D59" i="12"/>
  <c r="Q59" i="33" s="1"/>
  <c r="D59" i="33" s="1"/>
  <c r="E6" i="12"/>
  <c r="F23" i="32" s="1"/>
  <c r="F83" i="32" s="1"/>
  <c r="AE64" i="33" s="1"/>
  <c r="F93" i="33"/>
  <c r="J46" i="32"/>
  <c r="J49" i="32"/>
  <c r="AI30" i="33" s="1"/>
  <c r="L114" i="30"/>
  <c r="BX94" i="12" s="1"/>
  <c r="G42" i="32"/>
  <c r="G45" i="32"/>
  <c r="G48" i="32"/>
  <c r="F50" i="32"/>
  <c r="AE29" i="33"/>
  <c r="F66" i="32"/>
  <c r="F47" i="32"/>
  <c r="AE26" i="33"/>
  <c r="F63" i="32"/>
  <c r="F44" i="32"/>
  <c r="AE23" i="33"/>
  <c r="F60" i="32"/>
  <c r="I137" i="28"/>
  <c r="I136" i="28"/>
  <c r="I45" i="28"/>
  <c r="I47" i="28" s="1"/>
  <c r="I42" i="28"/>
  <c r="I44" i="28" s="1"/>
  <c r="I48" i="28"/>
  <c r="I50" i="28" s="1"/>
  <c r="AD5" i="33"/>
  <c r="D5" i="33" s="1"/>
  <c r="AD16" i="33"/>
  <c r="AD49" i="33"/>
  <c r="E81" i="32"/>
  <c r="K24" i="34"/>
  <c r="K83" i="34"/>
  <c r="Q6" i="33"/>
  <c r="G84" i="26"/>
  <c r="S65" i="12" s="1"/>
  <c r="G24" i="26"/>
  <c r="S6" i="12" s="1"/>
  <c r="G84" i="27"/>
  <c r="G24" i="27"/>
  <c r="AF6" i="12" s="1"/>
  <c r="BX65" i="12"/>
  <c r="L24" i="30"/>
  <c r="BX6" i="12" s="1"/>
  <c r="D148" i="12"/>
  <c r="Q148" i="33" s="1"/>
  <c r="D148" i="33" s="1"/>
  <c r="T26" i="12"/>
  <c r="L212" i="26"/>
  <c r="L213" i="26"/>
  <c r="I136" i="26"/>
  <c r="U116" i="12" s="1"/>
  <c r="I137" i="26"/>
  <c r="U117" i="12" s="1"/>
  <c r="S5" i="12"/>
  <c r="J148" i="29"/>
  <c r="BI128" i="12" s="1"/>
  <c r="G127" i="12"/>
  <c r="T127" i="33" s="1"/>
  <c r="E84" i="32"/>
  <c r="AD65" i="33" s="1"/>
  <c r="D65" i="33" s="1"/>
  <c r="E24" i="32"/>
  <c r="H101" i="26"/>
  <c r="D74" i="12"/>
  <c r="Q74" i="33" s="1"/>
  <c r="D74" i="33" s="1"/>
  <c r="L40" i="21"/>
  <c r="L148" i="30"/>
  <c r="L145" i="30"/>
  <c r="L86" i="30"/>
  <c r="L92" i="30" s="1"/>
  <c r="L94" i="30"/>
  <c r="L93" i="30"/>
  <c r="K51" i="30"/>
  <c r="K55" i="30" s="1"/>
  <c r="K96" i="30"/>
  <c r="BW67" i="12"/>
  <c r="J51" i="29"/>
  <c r="J55" i="29" s="1"/>
  <c r="J114" i="29"/>
  <c r="BI94" i="12" s="1"/>
  <c r="J126" i="29"/>
  <c r="J96" i="29"/>
  <c r="J133" i="29"/>
  <c r="J145" i="29"/>
  <c r="BI125" i="12" s="1"/>
  <c r="J138" i="29"/>
  <c r="BI118" i="12" s="1"/>
  <c r="BI67" i="12"/>
  <c r="I51" i="28"/>
  <c r="I82" i="28"/>
  <c r="H108" i="27"/>
  <c r="H114" i="26"/>
  <c r="T94" i="12" s="1"/>
  <c r="G55" i="26"/>
  <c r="I125" i="26"/>
  <c r="I28" i="26" s="1"/>
  <c r="H118" i="26"/>
  <c r="T98" i="12" s="1"/>
  <c r="K82" i="32"/>
  <c r="L82" i="32" s="1"/>
  <c r="M82" i="32" s="1"/>
  <c r="K125" i="32"/>
  <c r="K28" i="32" s="1"/>
  <c r="AF5" i="12"/>
  <c r="L29" i="30"/>
  <c r="F26" i="32"/>
  <c r="AE8" i="33" s="1"/>
  <c r="E8" i="33" s="1"/>
  <c r="F30" i="32"/>
  <c r="F25" i="32"/>
  <c r="AE7" i="33" s="1"/>
  <c r="F27" i="32"/>
  <c r="AE9" i="33" s="1"/>
  <c r="E9" i="33" s="1"/>
  <c r="E129" i="12"/>
  <c r="R129" i="33" s="1"/>
  <c r="E129" i="33" s="1"/>
  <c r="G55" i="27"/>
  <c r="K146" i="15"/>
  <c r="K152" i="15"/>
  <c r="L145" i="15"/>
  <c r="L53" i="15"/>
  <c r="L8" i="11"/>
  <c r="M23" i="15"/>
  <c r="M25" i="15" s="1"/>
  <c r="K84" i="34"/>
  <c r="CJ65" i="12" s="1"/>
  <c r="CJ5" i="12"/>
  <c r="CJ6" i="12"/>
  <c r="M19" i="11"/>
  <c r="N29" i="14"/>
  <c r="N29" i="15"/>
  <c r="N29" i="8"/>
  <c r="G68" i="12"/>
  <c r="T68" i="33" s="1"/>
  <c r="G68" i="33" s="1"/>
  <c r="G116" i="12"/>
  <c r="T116" i="33" s="1"/>
  <c r="F76" i="12"/>
  <c r="S76" i="33" s="1"/>
  <c r="F76" i="33" s="1"/>
  <c r="H92" i="26"/>
  <c r="H173" i="27"/>
  <c r="H114" i="27"/>
  <c r="L170" i="12"/>
  <c r="Y170" i="33" s="1"/>
  <c r="L170" i="33" s="1"/>
  <c r="D16" i="12"/>
  <c r="Q16" i="33" s="1"/>
  <c r="H133" i="26"/>
  <c r="H173" i="26"/>
  <c r="H101" i="27"/>
  <c r="T90" i="12"/>
  <c r="G90" i="12" s="1"/>
  <c r="T90" i="33" s="1"/>
  <c r="H148" i="27"/>
  <c r="H95" i="26"/>
  <c r="T76" i="12" s="1"/>
  <c r="H160" i="26"/>
  <c r="H126" i="27"/>
  <c r="H133" i="27"/>
  <c r="I112" i="26"/>
  <c r="U92" i="12" s="1"/>
  <c r="I110" i="26"/>
  <c r="I103" i="26"/>
  <c r="I111" i="26"/>
  <c r="I82" i="26"/>
  <c r="I116" i="26"/>
  <c r="I165" i="26"/>
  <c r="I168" i="26"/>
  <c r="I171" i="26"/>
  <c r="I117" i="26"/>
  <c r="I166" i="26"/>
  <c r="I169" i="26"/>
  <c r="I115" i="26"/>
  <c r="U95" i="12" s="1"/>
  <c r="I170" i="26"/>
  <c r="I167" i="26"/>
  <c r="I172" i="26"/>
  <c r="I162" i="26"/>
  <c r="I164" i="26" s="1"/>
  <c r="I149" i="26"/>
  <c r="I159" i="26"/>
  <c r="I152" i="26"/>
  <c r="I153" i="26"/>
  <c r="I154" i="26"/>
  <c r="I157" i="26"/>
  <c r="I150" i="26"/>
  <c r="I151" i="26"/>
  <c r="I155" i="26"/>
  <c r="I158" i="26"/>
  <c r="I156" i="26"/>
  <c r="I144" i="26"/>
  <c r="U124" i="12" s="1"/>
  <c r="I142" i="26"/>
  <c r="I146" i="26"/>
  <c r="I134" i="26"/>
  <c r="I143" i="26"/>
  <c r="U123" i="12" s="1"/>
  <c r="I147" i="26"/>
  <c r="I131" i="26"/>
  <c r="I129" i="26"/>
  <c r="I132" i="26"/>
  <c r="I141" i="26"/>
  <c r="I127" i="26"/>
  <c r="I130" i="26"/>
  <c r="I135" i="26"/>
  <c r="I128" i="26"/>
  <c r="I123" i="26"/>
  <c r="I120" i="26"/>
  <c r="I124" i="26"/>
  <c r="U104" i="12" s="1"/>
  <c r="I121" i="26"/>
  <c r="I122" i="26"/>
  <c r="I119" i="26"/>
  <c r="U99" i="12" s="1"/>
  <c r="I98" i="26"/>
  <c r="I90" i="26"/>
  <c r="I93" i="26"/>
  <c r="I91" i="26"/>
  <c r="I94" i="26"/>
  <c r="I97" i="26"/>
  <c r="I106" i="26"/>
  <c r="I89" i="26"/>
  <c r="I52" i="26"/>
  <c r="I99" i="26"/>
  <c r="I86" i="26"/>
  <c r="U67" i="12" s="1"/>
  <c r="I104" i="26"/>
  <c r="I109" i="26"/>
  <c r="I87" i="26"/>
  <c r="U68" i="12" s="1"/>
  <c r="I107" i="26"/>
  <c r="I53" i="26"/>
  <c r="I85" i="26"/>
  <c r="I105" i="26"/>
  <c r="I88" i="26"/>
  <c r="I102" i="26"/>
  <c r="I54" i="26"/>
  <c r="I100" i="26"/>
  <c r="I79" i="26"/>
  <c r="I78" i="26"/>
  <c r="I80" i="26"/>
  <c r="I51" i="26"/>
  <c r="I140" i="26"/>
  <c r="I139" i="26"/>
  <c r="D86" i="12"/>
  <c r="Q86" i="33" s="1"/>
  <c r="D86" i="33" s="1"/>
  <c r="H126" i="26"/>
  <c r="H92" i="27"/>
  <c r="H95" i="27"/>
  <c r="AG76" i="12" s="1"/>
  <c r="H160" i="27"/>
  <c r="H118" i="27"/>
  <c r="I103" i="28"/>
  <c r="I112" i="28"/>
  <c r="AU92" i="12" s="1"/>
  <c r="I110" i="28"/>
  <c r="I141" i="28"/>
  <c r="AU121" i="12" s="1"/>
  <c r="I111" i="28"/>
  <c r="I117" i="28"/>
  <c r="AU97" i="12" s="1"/>
  <c r="I166" i="28"/>
  <c r="I169" i="28"/>
  <c r="I172" i="28"/>
  <c r="I115" i="28"/>
  <c r="I167" i="28"/>
  <c r="AU147" i="12" s="1"/>
  <c r="I116" i="28"/>
  <c r="AU96" i="12" s="1"/>
  <c r="I170" i="28"/>
  <c r="I165" i="28"/>
  <c r="I171" i="28"/>
  <c r="I151" i="28"/>
  <c r="I159" i="28"/>
  <c r="I154" i="28"/>
  <c r="I149" i="28"/>
  <c r="I157" i="28"/>
  <c r="I168" i="28"/>
  <c r="I152" i="28"/>
  <c r="I155" i="28"/>
  <c r="I150" i="28"/>
  <c r="I158" i="28"/>
  <c r="I153" i="28"/>
  <c r="I162" i="28"/>
  <c r="I164" i="28" s="1"/>
  <c r="I143" i="28"/>
  <c r="AU123" i="12" s="1"/>
  <c r="I156" i="28"/>
  <c r="I134" i="28"/>
  <c r="I144" i="28"/>
  <c r="I146" i="28"/>
  <c r="I142" i="28"/>
  <c r="AU122" i="12" s="1"/>
  <c r="I131" i="28"/>
  <c r="I135" i="28"/>
  <c r="I138" i="28" s="1"/>
  <c r="I129" i="28"/>
  <c r="I132" i="28"/>
  <c r="I147" i="28"/>
  <c r="AU127" i="12" s="1"/>
  <c r="I127" i="28"/>
  <c r="I130" i="28"/>
  <c r="I128" i="28"/>
  <c r="I94" i="28"/>
  <c r="I122" i="28"/>
  <c r="I121" i="28"/>
  <c r="AU101" i="12" s="1"/>
  <c r="I125" i="28"/>
  <c r="I28" i="28" s="1"/>
  <c r="I119" i="28"/>
  <c r="AU99" i="12" s="1"/>
  <c r="I123" i="28"/>
  <c r="I93" i="28"/>
  <c r="I120" i="28"/>
  <c r="I124" i="28"/>
  <c r="I90" i="28"/>
  <c r="I105" i="28"/>
  <c r="I97" i="28"/>
  <c r="I98" i="28"/>
  <c r="I102" i="28"/>
  <c r="I106" i="28"/>
  <c r="AU93" i="12"/>
  <c r="I91" i="28"/>
  <c r="I99" i="28"/>
  <c r="I104" i="28"/>
  <c r="I107" i="28"/>
  <c r="I109" i="28"/>
  <c r="I87" i="28"/>
  <c r="AU68" i="12" s="1"/>
  <c r="I53" i="28"/>
  <c r="I85" i="28"/>
  <c r="I88" i="28"/>
  <c r="AU69" i="12" s="1"/>
  <c r="I54" i="28"/>
  <c r="I86" i="28"/>
  <c r="AU67" i="12" s="1"/>
  <c r="I52" i="28"/>
  <c r="I89" i="28"/>
  <c r="AU70" i="12" s="1"/>
  <c r="I79" i="28"/>
  <c r="I78" i="28"/>
  <c r="I100" i="28"/>
  <c r="I80" i="28"/>
  <c r="I139" i="28"/>
  <c r="I140" i="28"/>
  <c r="G110" i="32"/>
  <c r="G112" i="32"/>
  <c r="G111" i="32"/>
  <c r="H108" i="26"/>
  <c r="H148" i="26"/>
  <c r="T128" i="12" s="1"/>
  <c r="H145" i="27"/>
  <c r="AG125" i="12" s="1"/>
  <c r="H138" i="27"/>
  <c r="AG118" i="12" s="1"/>
  <c r="H138" i="26"/>
  <c r="I82" i="27"/>
  <c r="I111" i="27"/>
  <c r="I112" i="27"/>
  <c r="I103" i="27"/>
  <c r="I110" i="27"/>
  <c r="I115" i="27"/>
  <c r="I167" i="27"/>
  <c r="AH147" i="12" s="1"/>
  <c r="I170" i="27"/>
  <c r="I165" i="27"/>
  <c r="AH145" i="12" s="1"/>
  <c r="I116" i="27"/>
  <c r="I168" i="27"/>
  <c r="I171" i="27"/>
  <c r="I166" i="27"/>
  <c r="I172" i="27"/>
  <c r="I149" i="27"/>
  <c r="I157" i="27"/>
  <c r="I117" i="27"/>
  <c r="AH97" i="12" s="1"/>
  <c r="I152" i="27"/>
  <c r="I155" i="27"/>
  <c r="I150" i="27"/>
  <c r="I158" i="27"/>
  <c r="I169" i="27"/>
  <c r="I153" i="27"/>
  <c r="I156" i="27"/>
  <c r="I162" i="27"/>
  <c r="I164" i="27" s="1"/>
  <c r="I151" i="27"/>
  <c r="I159" i="27"/>
  <c r="I154" i="27"/>
  <c r="I140" i="27"/>
  <c r="I135" i="27"/>
  <c r="I143" i="27"/>
  <c r="AH123" i="12" s="1"/>
  <c r="I141" i="27"/>
  <c r="I146" i="27"/>
  <c r="AH126" i="12" s="1"/>
  <c r="I144" i="27"/>
  <c r="AH124" i="12" s="1"/>
  <c r="I134" i="27"/>
  <c r="I142" i="27"/>
  <c r="I147" i="27"/>
  <c r="I129" i="27"/>
  <c r="I132" i="27"/>
  <c r="I139" i="27"/>
  <c r="I127" i="27"/>
  <c r="I130" i="27"/>
  <c r="I128" i="27"/>
  <c r="I131" i="27"/>
  <c r="I123" i="27"/>
  <c r="I93" i="27"/>
  <c r="I99" i="27"/>
  <c r="I106" i="27"/>
  <c r="I120" i="27"/>
  <c r="I109" i="27"/>
  <c r="I97" i="27"/>
  <c r="I104" i="27"/>
  <c r="I124" i="27"/>
  <c r="I94" i="27"/>
  <c r="I100" i="27"/>
  <c r="I107" i="27"/>
  <c r="I121" i="27"/>
  <c r="AH101" i="12" s="1"/>
  <c r="I90" i="27"/>
  <c r="AH71" i="12" s="1"/>
  <c r="I122" i="27"/>
  <c r="I98" i="27"/>
  <c r="I105" i="27"/>
  <c r="I125" i="27"/>
  <c r="I28" i="27" s="1"/>
  <c r="I119" i="27"/>
  <c r="AH99" i="12" s="1"/>
  <c r="I102" i="27"/>
  <c r="I91" i="27"/>
  <c r="I80" i="27"/>
  <c r="I85" i="27"/>
  <c r="I52" i="27"/>
  <c r="I88" i="27"/>
  <c r="AH69" i="12" s="1"/>
  <c r="I87" i="27"/>
  <c r="I78" i="27"/>
  <c r="I86" i="27"/>
  <c r="I53" i="27"/>
  <c r="I89" i="27"/>
  <c r="AH70" i="12" s="1"/>
  <c r="I79" i="27"/>
  <c r="I51" i="27"/>
  <c r="I54" i="27"/>
  <c r="H145" i="26"/>
  <c r="T125" i="12" s="1"/>
  <c r="H96" i="27"/>
  <c r="K169" i="12"/>
  <c r="X169" i="33" s="1"/>
  <c r="K169" i="33" s="1"/>
  <c r="Y169" i="12"/>
  <c r="L26" i="21" s="1"/>
  <c r="D29" i="12"/>
  <c r="Q29" i="33" s="1"/>
  <c r="D29" i="33" s="1"/>
  <c r="AH106" i="33"/>
  <c r="AH10" i="33"/>
  <c r="M18" i="11"/>
  <c r="CL8" i="12"/>
  <c r="CL9" i="12"/>
  <c r="N28" i="15"/>
  <c r="N28" i="14"/>
  <c r="N28" i="8"/>
  <c r="H165" i="12"/>
  <c r="E55" i="34"/>
  <c r="CD36" i="12" s="1"/>
  <c r="CE36" i="12"/>
  <c r="D102" i="12"/>
  <c r="Q102" i="33" s="1"/>
  <c r="D102" i="33" s="1"/>
  <c r="G104" i="12"/>
  <c r="T104" i="33" s="1"/>
  <c r="G104" i="33" s="1"/>
  <c r="F128" i="12"/>
  <c r="S128" i="33" s="1"/>
  <c r="D24" i="12"/>
  <c r="E74" i="12"/>
  <c r="R74" i="33" s="1"/>
  <c r="E74" i="33" s="1"/>
  <c r="D129" i="12"/>
  <c r="Q129" i="33" s="1"/>
  <c r="D129" i="33" s="1"/>
  <c r="D107" i="12"/>
  <c r="Q107" i="33" s="1"/>
  <c r="D107" i="33" s="1"/>
  <c r="I165" i="12"/>
  <c r="V165" i="33" s="1"/>
  <c r="F8" i="12"/>
  <c r="S8" i="33" s="1"/>
  <c r="G95" i="12"/>
  <c r="T95" i="33" s="1"/>
  <c r="G95" i="33" s="1"/>
  <c r="F98" i="12"/>
  <c r="G126" i="12"/>
  <c r="T126" i="33" s="1"/>
  <c r="G70" i="12"/>
  <c r="T70" i="33" s="1"/>
  <c r="G70" i="33" s="1"/>
  <c r="G115" i="12"/>
  <c r="T115" i="33" s="1"/>
  <c r="G123" i="12"/>
  <c r="T123" i="33" s="1"/>
  <c r="G117" i="12"/>
  <c r="T117" i="33" s="1"/>
  <c r="F12" i="12"/>
  <c r="E78" i="12"/>
  <c r="R78" i="33" s="1"/>
  <c r="E78" i="33" s="1"/>
  <c r="E148" i="12"/>
  <c r="R148" i="33" s="1"/>
  <c r="E148" i="33" s="1"/>
  <c r="BE36" i="12"/>
  <c r="BR36" i="12"/>
  <c r="E35" i="12"/>
  <c r="R35" i="33" s="1"/>
  <c r="E35" i="33" s="1"/>
  <c r="E140" i="12"/>
  <c r="D78" i="12"/>
  <c r="Q78" i="33" s="1"/>
  <c r="D78" i="33" s="1"/>
  <c r="F72" i="12"/>
  <c r="S72" i="33" s="1"/>
  <c r="F72" i="33" s="1"/>
  <c r="F120" i="12"/>
  <c r="F133" i="12"/>
  <c r="S133" i="33" s="1"/>
  <c r="F133" i="33" s="1"/>
  <c r="F143" i="12"/>
  <c r="S143" i="33" s="1"/>
  <c r="F143" i="33" s="1"/>
  <c r="D26" i="12"/>
  <c r="Q26" i="33" s="1"/>
  <c r="D26" i="33" s="1"/>
  <c r="F83" i="12"/>
  <c r="CF36" i="12"/>
  <c r="W169" i="33"/>
  <c r="W171" i="33" s="1"/>
  <c r="F130" i="12"/>
  <c r="S130" i="33" s="1"/>
  <c r="F130" i="33" s="1"/>
  <c r="E82" i="12"/>
  <c r="E32" i="12"/>
  <c r="R32" i="33" s="1"/>
  <c r="E32" i="33" s="1"/>
  <c r="D23" i="12"/>
  <c r="Q23" i="33" s="1"/>
  <c r="D23" i="33" s="1"/>
  <c r="BS32" i="12"/>
  <c r="G59" i="30"/>
  <c r="BS40" i="12" s="1"/>
  <c r="G66" i="30"/>
  <c r="BS29" i="12"/>
  <c r="F61" i="12"/>
  <c r="S61" i="33" s="1"/>
  <c r="F61" i="33" s="1"/>
  <c r="F135" i="12"/>
  <c r="S135" i="33" s="1"/>
  <c r="F135" i="33" s="1"/>
  <c r="F150" i="12"/>
  <c r="S150" i="33" s="1"/>
  <c r="F150" i="33" s="1"/>
  <c r="BR107" i="12"/>
  <c r="BR113" i="12"/>
  <c r="F71" i="30"/>
  <c r="BR52" i="12" s="1"/>
  <c r="F74" i="30"/>
  <c r="BR55" i="12" s="1"/>
  <c r="F77" i="30"/>
  <c r="BR58" i="12" s="1"/>
  <c r="F58" i="30"/>
  <c r="BR39" i="12" s="1"/>
  <c r="BR31" i="12"/>
  <c r="BQ106" i="12"/>
  <c r="BR28" i="12"/>
  <c r="F73" i="30"/>
  <c r="BR54" i="12" s="1"/>
  <c r="F76" i="30"/>
  <c r="BR57" i="12" s="1"/>
  <c r="F57" i="30"/>
  <c r="BR38" i="12" s="1"/>
  <c r="F70" i="30"/>
  <c r="BR51" i="12" s="1"/>
  <c r="BS102" i="12"/>
  <c r="BS23" i="12"/>
  <c r="G60" i="30"/>
  <c r="BS66" i="12"/>
  <c r="BS73" i="12"/>
  <c r="BQ25" i="12"/>
  <c r="E69" i="30"/>
  <c r="BQ50" i="12" s="1"/>
  <c r="E56" i="30"/>
  <c r="E75" i="30"/>
  <c r="BQ56" i="12" s="1"/>
  <c r="E72" i="30"/>
  <c r="BQ53" i="12" s="1"/>
  <c r="BR47" i="12"/>
  <c r="F68" i="30"/>
  <c r="BR44" i="12"/>
  <c r="F65" i="30"/>
  <c r="BR46" i="12" s="1"/>
  <c r="BS141" i="12"/>
  <c r="BS144" i="12"/>
  <c r="BQ28" i="12"/>
  <c r="E73" i="30"/>
  <c r="BQ54" i="12" s="1"/>
  <c r="E76" i="30"/>
  <c r="BQ57" i="12" s="1"/>
  <c r="E57" i="30"/>
  <c r="BQ38" i="12" s="1"/>
  <c r="E70" i="30"/>
  <c r="BQ51" i="12" s="1"/>
  <c r="E24" i="12"/>
  <c r="R24" i="33" s="1"/>
  <c r="E24" i="33" s="1"/>
  <c r="BQ41" i="12"/>
  <c r="E62" i="30"/>
  <c r="BQ43" i="12" s="1"/>
  <c r="BS129" i="12"/>
  <c r="F129" i="12" s="1"/>
  <c r="S129" i="33" s="1"/>
  <c r="F129" i="33" s="1"/>
  <c r="BS140" i="12"/>
  <c r="BQ44" i="12"/>
  <c r="E65" i="30"/>
  <c r="BQ46" i="12" s="1"/>
  <c r="BT75" i="12"/>
  <c r="BT85" i="12"/>
  <c r="BT61" i="12"/>
  <c r="BT87" i="12"/>
  <c r="BT152" i="12"/>
  <c r="BT150" i="12"/>
  <c r="BT60" i="12"/>
  <c r="BT89" i="12"/>
  <c r="BT149" i="12"/>
  <c r="BT72" i="12"/>
  <c r="BT119" i="12"/>
  <c r="BT105" i="12"/>
  <c r="BT63" i="12"/>
  <c r="BT131" i="12"/>
  <c r="BT151" i="12"/>
  <c r="BT114" i="12"/>
  <c r="BT133" i="12"/>
  <c r="BT79" i="12"/>
  <c r="BT143" i="12"/>
  <c r="BT135" i="12"/>
  <c r="BT81" i="12"/>
  <c r="BT130" i="12"/>
  <c r="BT142" i="12"/>
  <c r="BT80" i="12"/>
  <c r="BT100" i="12"/>
  <c r="BT120" i="12"/>
  <c r="BT137" i="12"/>
  <c r="BT84" i="12"/>
  <c r="BT103" i="12"/>
  <c r="BT134" i="12"/>
  <c r="BT132" i="12"/>
  <c r="BT83" i="12"/>
  <c r="BT139" i="12"/>
  <c r="BT59" i="12"/>
  <c r="BT138" i="12"/>
  <c r="BT136" i="12"/>
  <c r="E86" i="12"/>
  <c r="R86" i="33" s="1"/>
  <c r="E86" i="33" s="1"/>
  <c r="BR25" i="12"/>
  <c r="F69" i="30"/>
  <c r="BR50" i="12" s="1"/>
  <c r="F75" i="30"/>
  <c r="BR56" i="12" s="1"/>
  <c r="F56" i="30"/>
  <c r="F72" i="30"/>
  <c r="BR53" i="12" s="1"/>
  <c r="BS148" i="12"/>
  <c r="F148" i="12" s="1"/>
  <c r="S148" i="33" s="1"/>
  <c r="F148" i="33" s="1"/>
  <c r="BS153" i="12"/>
  <c r="BR106" i="12"/>
  <c r="BR41" i="12"/>
  <c r="F62" i="30"/>
  <c r="BR43" i="12" s="1"/>
  <c r="BS26" i="12"/>
  <c r="G63" i="30"/>
  <c r="BS27" i="12"/>
  <c r="G64" i="30"/>
  <c r="BS45" i="12" s="1"/>
  <c r="BS86" i="12"/>
  <c r="F86" i="12" s="1"/>
  <c r="S86" i="33" s="1"/>
  <c r="F86" i="33" s="1"/>
  <c r="BS88" i="12"/>
  <c r="BS74" i="12"/>
  <c r="BS77" i="12"/>
  <c r="BQ31" i="12"/>
  <c r="E71" i="30"/>
  <c r="BQ52" i="12" s="1"/>
  <c r="E74" i="30"/>
  <c r="BQ55" i="12" s="1"/>
  <c r="E58" i="30"/>
  <c r="BQ39" i="12" s="1"/>
  <c r="E77" i="30"/>
  <c r="BQ58" i="12" s="1"/>
  <c r="E55" i="30"/>
  <c r="BQ36" i="12" s="1"/>
  <c r="BS24" i="12"/>
  <c r="G61" i="30"/>
  <c r="BS42" i="12" s="1"/>
  <c r="BS30" i="12"/>
  <c r="G67" i="30"/>
  <c r="BS48" i="12" s="1"/>
  <c r="BS78" i="12"/>
  <c r="F78" i="12" s="1"/>
  <c r="S78" i="33" s="1"/>
  <c r="F78" i="33" s="1"/>
  <c r="BS82" i="12"/>
  <c r="BQ47" i="12"/>
  <c r="E68" i="30"/>
  <c r="CH105" i="12"/>
  <c r="E71" i="29"/>
  <c r="BD52" i="12" s="1"/>
  <c r="E74" i="29"/>
  <c r="BD55" i="12" s="1"/>
  <c r="E58" i="29"/>
  <c r="BD39" i="12" s="1"/>
  <c r="E77" i="29"/>
  <c r="BD58" i="12" s="1"/>
  <c r="BD31" i="12"/>
  <c r="E55" i="29"/>
  <c r="BD36" i="12" s="1"/>
  <c r="CG148" i="12"/>
  <c r="CG153" i="12"/>
  <c r="BE41" i="12"/>
  <c r="F62" i="29"/>
  <c r="BE43" i="12" s="1"/>
  <c r="BD41" i="12"/>
  <c r="E62" i="29"/>
  <c r="BD43" i="12" s="1"/>
  <c r="CE31" i="12"/>
  <c r="F74" i="34"/>
  <c r="CE55" i="12" s="1"/>
  <c r="F58" i="34"/>
  <c r="CE39" i="12" s="1"/>
  <c r="F71" i="34"/>
  <c r="CE52" i="12" s="1"/>
  <c r="F77" i="34"/>
  <c r="CE58" i="12" s="1"/>
  <c r="BE111" i="12"/>
  <c r="CE111" i="12"/>
  <c r="CD31" i="12"/>
  <c r="E77" i="34"/>
  <c r="CD58" i="12" s="1"/>
  <c r="E58" i="34"/>
  <c r="CD39" i="12" s="1"/>
  <c r="E74" i="34"/>
  <c r="CD55" i="12" s="1"/>
  <c r="E71" i="34"/>
  <c r="CD52" i="12" s="1"/>
  <c r="BD106" i="12"/>
  <c r="BD47" i="12"/>
  <c r="E68" i="29"/>
  <c r="BD49" i="12" s="1"/>
  <c r="CG32" i="12"/>
  <c r="H59" i="34"/>
  <c r="CG40" i="12" s="1"/>
  <c r="H61" i="34"/>
  <c r="CG42" i="12" s="1"/>
  <c r="CG24" i="12"/>
  <c r="CG35" i="12"/>
  <c r="CF44" i="12"/>
  <c r="G65" i="34"/>
  <c r="CF46" i="12" s="1"/>
  <c r="F68" i="34"/>
  <c r="CE47" i="12"/>
  <c r="BE109" i="12"/>
  <c r="CE109" i="12"/>
  <c r="F34" i="12"/>
  <c r="S34" i="33" s="1"/>
  <c r="F34" i="33" s="1"/>
  <c r="CD47" i="12"/>
  <c r="E68" i="34"/>
  <c r="CD49" i="12" s="1"/>
  <c r="CG23" i="12"/>
  <c r="H60" i="34"/>
  <c r="CG26" i="12"/>
  <c r="H63" i="34"/>
  <c r="CG82" i="12"/>
  <c r="CG78" i="12"/>
  <c r="CD153" i="12"/>
  <c r="D153" i="12" s="1"/>
  <c r="Q153" i="33" s="1"/>
  <c r="D153" i="33" s="1"/>
  <c r="CE25" i="12"/>
  <c r="F75" i="34"/>
  <c r="CE56" i="12" s="1"/>
  <c r="F72" i="34"/>
  <c r="CE53" i="12" s="1"/>
  <c r="F56" i="34"/>
  <c r="F69" i="34"/>
  <c r="CE50" i="12" s="1"/>
  <c r="CF25" i="12"/>
  <c r="G72" i="34"/>
  <c r="CF53" i="12" s="1"/>
  <c r="G69" i="34"/>
  <c r="CF50" i="12" s="1"/>
  <c r="G75" i="34"/>
  <c r="CF56" i="12" s="1"/>
  <c r="G56" i="34"/>
  <c r="F103" i="12"/>
  <c r="S103" i="33" s="1"/>
  <c r="F103" i="33" s="1"/>
  <c r="D82" i="12"/>
  <c r="E73" i="12"/>
  <c r="R73" i="33" s="1"/>
  <c r="CE112" i="12"/>
  <c r="BE112" i="12"/>
  <c r="E40" i="12"/>
  <c r="R40" i="33" s="1"/>
  <c r="E40" i="33" s="1"/>
  <c r="D27" i="12"/>
  <c r="BE106" i="12"/>
  <c r="CG27" i="12"/>
  <c r="H64" i="34"/>
  <c r="CG45" i="12" s="1"/>
  <c r="CG141" i="12"/>
  <c r="CG144" i="12"/>
  <c r="F62" i="34"/>
  <c r="CE43" i="12" s="1"/>
  <c r="CE41" i="12"/>
  <c r="G62" i="34"/>
  <c r="CF43" i="12" s="1"/>
  <c r="CF41" i="12"/>
  <c r="CE28" i="12"/>
  <c r="F73" i="34"/>
  <c r="CE54" i="12" s="1"/>
  <c r="F70" i="34"/>
  <c r="CE51" i="12" s="1"/>
  <c r="F57" i="34"/>
  <c r="CE38" i="12" s="1"/>
  <c r="F76" i="34"/>
  <c r="CE57" i="12" s="1"/>
  <c r="F80" i="12"/>
  <c r="S80" i="33" s="1"/>
  <c r="F80" i="33" s="1"/>
  <c r="F131" i="12"/>
  <c r="S131" i="33" s="1"/>
  <c r="F131" i="33" s="1"/>
  <c r="F81" i="12"/>
  <c r="S81" i="33" s="1"/>
  <c r="F81" i="33" s="1"/>
  <c r="F151" i="12"/>
  <c r="S151" i="33" s="1"/>
  <c r="F151" i="33" s="1"/>
  <c r="CE110" i="12"/>
  <c r="BE110" i="12"/>
  <c r="D32" i="12"/>
  <c r="F142" i="12"/>
  <c r="S142" i="33" s="1"/>
  <c r="F142" i="33" s="1"/>
  <c r="E141" i="12"/>
  <c r="R141" i="33" s="1"/>
  <c r="E141" i="33" s="1"/>
  <c r="CD106" i="12"/>
  <c r="BE28" i="12"/>
  <c r="F70" i="29"/>
  <c r="BE51" i="12" s="1"/>
  <c r="F73" i="29"/>
  <c r="BE54" i="12" s="1"/>
  <c r="F57" i="29"/>
  <c r="BE38" i="12" s="1"/>
  <c r="F76" i="29"/>
  <c r="BE57" i="12" s="1"/>
  <c r="E65" i="34"/>
  <c r="CD46" i="12" s="1"/>
  <c r="CD44" i="12"/>
  <c r="CG29" i="12"/>
  <c r="H66" i="34"/>
  <c r="CG88" i="12"/>
  <c r="CG86" i="12"/>
  <c r="CE44" i="12"/>
  <c r="F65" i="34"/>
  <c r="CE46" i="12" s="1"/>
  <c r="F132" i="12"/>
  <c r="S132" i="33" s="1"/>
  <c r="F132" i="33" s="1"/>
  <c r="CE108" i="12"/>
  <c r="BE108" i="12"/>
  <c r="D30" i="12"/>
  <c r="BE44" i="12"/>
  <c r="F65" i="29"/>
  <c r="BE46" i="12" s="1"/>
  <c r="CD28" i="12"/>
  <c r="E76" i="34"/>
  <c r="CD57" i="12" s="1"/>
  <c r="E57" i="34"/>
  <c r="CD38" i="12" s="1"/>
  <c r="E73" i="34"/>
  <c r="CD54" i="12" s="1"/>
  <c r="E70" i="34"/>
  <c r="CD51" i="12" s="1"/>
  <c r="CF31" i="12"/>
  <c r="G77" i="34"/>
  <c r="CF58" i="12" s="1"/>
  <c r="G58" i="34"/>
  <c r="CF39" i="12" s="1"/>
  <c r="G74" i="34"/>
  <c r="CF55" i="12" s="1"/>
  <c r="G71" i="34"/>
  <c r="CF52" i="12" s="1"/>
  <c r="CG74" i="12"/>
  <c r="CG77" i="12"/>
  <c r="CG66" i="12"/>
  <c r="CG73" i="12"/>
  <c r="BD28" i="12"/>
  <c r="E57" i="29"/>
  <c r="BD38" i="12" s="1"/>
  <c r="E70" i="29"/>
  <c r="BD51" i="12" s="1"/>
  <c r="E73" i="29"/>
  <c r="BD54" i="12" s="1"/>
  <c r="E76" i="29"/>
  <c r="BD57" i="12" s="1"/>
  <c r="BE31" i="12"/>
  <c r="F71" i="29"/>
  <c r="BE52" i="12" s="1"/>
  <c r="F74" i="29"/>
  <c r="BE55" i="12" s="1"/>
  <c r="F58" i="29"/>
  <c r="BE39" i="12" s="1"/>
  <c r="F77" i="29"/>
  <c r="BE58" i="12" s="1"/>
  <c r="CE153" i="12"/>
  <c r="E153" i="12" s="1"/>
  <c r="R153" i="33" s="1"/>
  <c r="F60" i="12"/>
  <c r="S60" i="33" s="1"/>
  <c r="F60" i="33" s="1"/>
  <c r="CG105" i="12"/>
  <c r="G68" i="34"/>
  <c r="CF47" i="12"/>
  <c r="CG129" i="12"/>
  <c r="CG140" i="12"/>
  <c r="CG30" i="12"/>
  <c r="H67" i="34"/>
  <c r="CG48" i="12" s="1"/>
  <c r="CE106" i="12"/>
  <c r="CD41" i="12"/>
  <c r="E62" i="34"/>
  <c r="CD43" i="12" s="1"/>
  <c r="BD44" i="12"/>
  <c r="E65" i="29"/>
  <c r="BD46" i="12" s="1"/>
  <c r="F56" i="29"/>
  <c r="F69" i="29"/>
  <c r="BE50" i="12" s="1"/>
  <c r="F72" i="29"/>
  <c r="BE53" i="12" s="1"/>
  <c r="F75" i="29"/>
  <c r="BE56" i="12" s="1"/>
  <c r="BE25" i="12"/>
  <c r="BE47" i="12"/>
  <c r="F68" i="29"/>
  <c r="CH149" i="12"/>
  <c r="CH152" i="12"/>
  <c r="CH83" i="12"/>
  <c r="CH133" i="12"/>
  <c r="CH131" i="12"/>
  <c r="CH103" i="12"/>
  <c r="CH142" i="12"/>
  <c r="CH135" i="12"/>
  <c r="CH138" i="12"/>
  <c r="CH34" i="12"/>
  <c r="CH150" i="12"/>
  <c r="CH143" i="12"/>
  <c r="CH63" i="12"/>
  <c r="CH130" i="12"/>
  <c r="CH132" i="12"/>
  <c r="CH84" i="12"/>
  <c r="CH85" i="12"/>
  <c r="CH79" i="12"/>
  <c r="CH81" i="12"/>
  <c r="CH151" i="12"/>
  <c r="CH89" i="12"/>
  <c r="CH134" i="12"/>
  <c r="CH61" i="12"/>
  <c r="CH87" i="12"/>
  <c r="CH100" i="12"/>
  <c r="CH114" i="12"/>
  <c r="CH33" i="12"/>
  <c r="CH80" i="12"/>
  <c r="CH72" i="12"/>
  <c r="CH139" i="12"/>
  <c r="CH136" i="12"/>
  <c r="CH137" i="12"/>
  <c r="CH119" i="12"/>
  <c r="CH60" i="12"/>
  <c r="CH59" i="12"/>
  <c r="CH120" i="12"/>
  <c r="CH75" i="12"/>
  <c r="BE64" i="12"/>
  <c r="CE64" i="12"/>
  <c r="CG102" i="12"/>
  <c r="CG106" i="12"/>
  <c r="CD25" i="12"/>
  <c r="E69" i="34"/>
  <c r="CD50" i="12" s="1"/>
  <c r="E75" i="34"/>
  <c r="CD56" i="12" s="1"/>
  <c r="E56" i="34"/>
  <c r="E72" i="34"/>
  <c r="CD53" i="12" s="1"/>
  <c r="BD25" i="12"/>
  <c r="E56" i="29"/>
  <c r="E75" i="29"/>
  <c r="BD56" i="12" s="1"/>
  <c r="E72" i="29"/>
  <c r="BD53" i="12" s="1"/>
  <c r="E69" i="29"/>
  <c r="BD50" i="12" s="1"/>
  <c r="CF28" i="12"/>
  <c r="G57" i="34"/>
  <c r="CF38" i="12" s="1"/>
  <c r="G76" i="34"/>
  <c r="CF57" i="12" s="1"/>
  <c r="G70" i="34"/>
  <c r="CF51" i="12" s="1"/>
  <c r="G73" i="34"/>
  <c r="CF54" i="12" s="1"/>
  <c r="G101" i="12"/>
  <c r="T101" i="33" s="1"/>
  <c r="G101" i="33" s="1"/>
  <c r="G97" i="12"/>
  <c r="T97" i="33" s="1"/>
  <c r="G97" i="33" s="1"/>
  <c r="F139" i="12"/>
  <c r="S139" i="33" s="1"/>
  <c r="F139" i="33" s="1"/>
  <c r="E26" i="12"/>
  <c r="R26" i="33" s="1"/>
  <c r="E65" i="12"/>
  <c r="R65" i="33" s="1"/>
  <c r="G71" i="12"/>
  <c r="T71" i="33" s="1"/>
  <c r="G71" i="33" s="1"/>
  <c r="G69" i="12"/>
  <c r="T69" i="33" s="1"/>
  <c r="G69" i="33" s="1"/>
  <c r="F59" i="12"/>
  <c r="S59" i="33" s="1"/>
  <c r="F59" i="33" s="1"/>
  <c r="F136" i="12"/>
  <c r="S136" i="33" s="1"/>
  <c r="F136" i="33" s="1"/>
  <c r="F152" i="12"/>
  <c r="S152" i="33" s="1"/>
  <c r="F152" i="33" s="1"/>
  <c r="D66" i="12"/>
  <c r="Q66" i="33" s="1"/>
  <c r="D66" i="33" s="1"/>
  <c r="J166" i="12"/>
  <c r="J16" i="21" s="1"/>
  <c r="F7" i="12"/>
  <c r="S7" i="33" s="1"/>
  <c r="G67" i="12"/>
  <c r="T67" i="33" s="1"/>
  <c r="G92" i="12"/>
  <c r="T92" i="33" s="1"/>
  <c r="F63" i="12"/>
  <c r="F149" i="12"/>
  <c r="S149" i="33" s="1"/>
  <c r="F149" i="33" s="1"/>
  <c r="F118" i="12"/>
  <c r="S118" i="33" s="1"/>
  <c r="F114" i="12"/>
  <c r="E88" i="12"/>
  <c r="D144" i="12"/>
  <c r="I164" i="12"/>
  <c r="V164" i="33" s="1"/>
  <c r="I164" i="33" s="1"/>
  <c r="F9" i="12"/>
  <c r="S9" i="33" s="1"/>
  <c r="G145" i="12"/>
  <c r="T145" i="33" s="1"/>
  <c r="F79" i="12"/>
  <c r="S79" i="33" s="1"/>
  <c r="F79" i="33" s="1"/>
  <c r="F87" i="12"/>
  <c r="S87" i="33" s="1"/>
  <c r="F87" i="33" s="1"/>
  <c r="F119" i="12"/>
  <c r="F85" i="12"/>
  <c r="F94" i="12"/>
  <c r="S94" i="33" s="1"/>
  <c r="E23" i="12"/>
  <c r="R23" i="33" s="1"/>
  <c r="E23" i="33" s="1"/>
  <c r="D141" i="12"/>
  <c r="G121" i="12"/>
  <c r="F125" i="12"/>
  <c r="S125" i="33" s="1"/>
  <c r="F137" i="12"/>
  <c r="S137" i="33" s="1"/>
  <c r="F137" i="33" s="1"/>
  <c r="D77" i="12"/>
  <c r="D140" i="12"/>
  <c r="D73" i="12"/>
  <c r="G122" i="12"/>
  <c r="T122" i="33" s="1"/>
  <c r="F89" i="12"/>
  <c r="F134" i="12"/>
  <c r="S134" i="33" s="1"/>
  <c r="F134" i="33" s="1"/>
  <c r="E87" i="12"/>
  <c r="R87" i="33" s="1"/>
  <c r="E87" i="33" s="1"/>
  <c r="F100" i="12"/>
  <c r="S100" i="33" s="1"/>
  <c r="F75" i="12"/>
  <c r="S75" i="33" s="1"/>
  <c r="F75" i="33" s="1"/>
  <c r="F138" i="12"/>
  <c r="S138" i="33" s="1"/>
  <c r="F138" i="33" s="1"/>
  <c r="E77" i="12"/>
  <c r="F33" i="12"/>
  <c r="S33" i="33" s="1"/>
  <c r="F33" i="33" s="1"/>
  <c r="E66" i="12"/>
  <c r="R66" i="33" s="1"/>
  <c r="E66" i="33" s="1"/>
  <c r="D81" i="12"/>
  <c r="Q81" i="33" s="1"/>
  <c r="D81" i="33" s="1"/>
  <c r="D75" i="12"/>
  <c r="Q75" i="33" s="1"/>
  <c r="D75" i="33" s="1"/>
  <c r="G91" i="12"/>
  <c r="T91" i="33" s="1"/>
  <c r="G93" i="12"/>
  <c r="T93" i="33" s="1"/>
  <c r="D79" i="12"/>
  <c r="Q79" i="33" s="1"/>
  <c r="D79" i="33" s="1"/>
  <c r="G146" i="12"/>
  <c r="T146" i="33" s="1"/>
  <c r="G147" i="12"/>
  <c r="T147" i="33" s="1"/>
  <c r="G147" i="33" s="1"/>
  <c r="G124" i="12"/>
  <c r="T124" i="33" s="1"/>
  <c r="D80" i="12"/>
  <c r="Q80" i="33" s="1"/>
  <c r="D80" i="33" s="1"/>
  <c r="D72" i="12"/>
  <c r="Q72" i="33" s="1"/>
  <c r="D72" i="33" s="1"/>
  <c r="G96" i="12"/>
  <c r="T96" i="33" s="1"/>
  <c r="G96" i="33" s="1"/>
  <c r="D113" i="12"/>
  <c r="M184" i="14"/>
  <c r="BF23" i="12"/>
  <c r="BF25" i="12"/>
  <c r="P58" i="15"/>
  <c r="L74" i="8"/>
  <c r="L69" i="8"/>
  <c r="L67" i="8"/>
  <c r="L72" i="8"/>
  <c r="L70" i="8"/>
  <c r="L73" i="8"/>
  <c r="Q384" i="15"/>
  <c r="Q331" i="15"/>
  <c r="Q350" i="15"/>
  <c r="Q431" i="15"/>
  <c r="Q325" i="15"/>
  <c r="Q399" i="15"/>
  <c r="Q433" i="15"/>
  <c r="Q329" i="15"/>
  <c r="Q396" i="15"/>
  <c r="Q377" i="15"/>
  <c r="Q353" i="15"/>
  <c r="Q373" i="15"/>
  <c r="Q5" i="15"/>
  <c r="Q387" i="15"/>
  <c r="Q323" i="15"/>
  <c r="Q346" i="15"/>
  <c r="Q400" i="15"/>
  <c r="Q357" i="15"/>
  <c r="Q370" i="15"/>
  <c r="Q426" i="15"/>
  <c r="Q332" i="15"/>
  <c r="Q434" i="15"/>
  <c r="Q341" i="15"/>
  <c r="Q393" i="15"/>
  <c r="Q345" i="15"/>
  <c r="Q435" i="15"/>
  <c r="Q320" i="15"/>
  <c r="Q334" i="15"/>
  <c r="Q363" i="15"/>
  <c r="Q362" i="15"/>
  <c r="Q397" i="15"/>
  <c r="Q317" i="15"/>
  <c r="Q348" i="15"/>
  <c r="Q381" i="15"/>
  <c r="Q340" i="15"/>
  <c r="Q424" i="15"/>
  <c r="Q438" i="15"/>
  <c r="Q343" i="15"/>
  <c r="Q358" i="15"/>
  <c r="Q322" i="15"/>
  <c r="Q344" i="15"/>
  <c r="Q371" i="15"/>
  <c r="Q375" i="15"/>
  <c r="Q389" i="15"/>
  <c r="Q383" i="15"/>
  <c r="Q359" i="15"/>
  <c r="Q372" i="15"/>
  <c r="Q352" i="15"/>
  <c r="Q429" i="15"/>
  <c r="Q354" i="15"/>
  <c r="Q379" i="15"/>
  <c r="Q425" i="15"/>
  <c r="Q380" i="15"/>
  <c r="Q391" i="15"/>
  <c r="Q385" i="15"/>
  <c r="Q355" i="15"/>
  <c r="Q326" i="15"/>
  <c r="Q386" i="15"/>
  <c r="Q427" i="15"/>
  <c r="Q421" i="15"/>
  <c r="Q430" i="15"/>
  <c r="Q351" i="15"/>
  <c r="Q428" i="15"/>
  <c r="Q361" i="15"/>
  <c r="Q367" i="15"/>
  <c r="Q382" i="15"/>
  <c r="Q398" i="15"/>
  <c r="Q347" i="15"/>
  <c r="Q342" i="15"/>
  <c r="Q365" i="15"/>
  <c r="Q440" i="15"/>
  <c r="Q422" i="15"/>
  <c r="Q337" i="15"/>
  <c r="Q335" i="15"/>
  <c r="Q395" i="15"/>
  <c r="Q376" i="15"/>
  <c r="Q436" i="15"/>
  <c r="Q374" i="15"/>
  <c r="Q423" i="15"/>
  <c r="Q319" i="15"/>
  <c r="Q368" i="15"/>
  <c r="Q360" i="15"/>
  <c r="Q378" i="15"/>
  <c r="Q356" i="15"/>
  <c r="Q439" i="15"/>
  <c r="Q316" i="15"/>
  <c r="Q349" i="15"/>
  <c r="Q364" i="15"/>
  <c r="Q432" i="15"/>
  <c r="Q392" i="15"/>
  <c r="Q390" i="15"/>
  <c r="Q328" i="15"/>
  <c r="Q369" i="15"/>
  <c r="Q366" i="15"/>
  <c r="Q394" i="15"/>
  <c r="Q437" i="15"/>
  <c r="Q388" i="15"/>
  <c r="Q330" i="15"/>
  <c r="Q406" i="15"/>
  <c r="Q405" i="15"/>
  <c r="Q401" i="15"/>
  <c r="Q416" i="15"/>
  <c r="Q417" i="15"/>
  <c r="Q318" i="15"/>
  <c r="Q415" i="15"/>
  <c r="Q327" i="15"/>
  <c r="Q339" i="15"/>
  <c r="Q409" i="15"/>
  <c r="Q324" i="15"/>
  <c r="Q413" i="15"/>
  <c r="Q333" i="15"/>
  <c r="Q336" i="15"/>
  <c r="Q419" i="15"/>
  <c r="Q414" i="15"/>
  <c r="Q321" i="15"/>
  <c r="Q410" i="15"/>
  <c r="Q402" i="15"/>
  <c r="Q338" i="15"/>
  <c r="O94" i="8"/>
  <c r="AU71" i="12"/>
  <c r="P88" i="8"/>
  <c r="O101" i="8"/>
  <c r="P85" i="8"/>
  <c r="M59" i="8"/>
  <c r="P64" i="15"/>
  <c r="P65" i="15"/>
  <c r="P42" i="15" s="1"/>
  <c r="M71" i="15"/>
  <c r="M143" i="15"/>
  <c r="M185" i="15"/>
  <c r="O68" i="15"/>
  <c r="O75" i="15" s="1"/>
  <c r="K73" i="14"/>
  <c r="K69" i="14"/>
  <c r="K74" i="14"/>
  <c r="K67" i="14"/>
  <c r="L63" i="14"/>
  <c r="L65" i="14"/>
  <c r="L42" i="14" s="1"/>
  <c r="M71" i="14"/>
  <c r="M143" i="14"/>
  <c r="P62" i="15"/>
  <c r="P9" i="8"/>
  <c r="Q8" i="8"/>
  <c r="Q9" i="8" s="1"/>
  <c r="O66" i="15"/>
  <c r="O70" i="15" s="1"/>
  <c r="L62" i="14"/>
  <c r="M459" i="8"/>
  <c r="M57" i="8" s="1"/>
  <c r="M58" i="8"/>
  <c r="P56" i="15"/>
  <c r="P60" i="15" s="1"/>
  <c r="N370" i="8"/>
  <c r="N396" i="8"/>
  <c r="N382" i="8"/>
  <c r="N377" i="8"/>
  <c r="N383" i="8"/>
  <c r="N386" i="8"/>
  <c r="N392" i="8"/>
  <c r="N355" i="8"/>
  <c r="N342" i="8"/>
  <c r="N431" i="8"/>
  <c r="N440" i="8"/>
  <c r="N442" i="8"/>
  <c r="N448" i="8"/>
  <c r="N407" i="8"/>
  <c r="N352" i="8"/>
  <c r="N388" i="8"/>
  <c r="N366" i="8"/>
  <c r="N410" i="8"/>
  <c r="N408" i="8"/>
  <c r="N456" i="8"/>
  <c r="N380" i="8"/>
  <c r="N434" i="8"/>
  <c r="N436" i="8"/>
  <c r="N335" i="8"/>
  <c r="N336" i="8"/>
  <c r="N390" i="8"/>
  <c r="N362" i="8"/>
  <c r="N375" i="8"/>
  <c r="N458" i="8"/>
  <c r="N371" i="8"/>
  <c r="N415" i="8"/>
  <c r="N454" i="8"/>
  <c r="N400" i="8"/>
  <c r="N437" i="8"/>
  <c r="N428" i="8"/>
  <c r="N425" i="8"/>
  <c r="N420" i="8"/>
  <c r="N422" i="8"/>
  <c r="N447" i="8"/>
  <c r="N394" i="8"/>
  <c r="N376" i="8"/>
  <c r="N409" i="8"/>
  <c r="N403" i="8"/>
  <c r="N367" i="8"/>
  <c r="N414" i="8"/>
  <c r="N416" i="8"/>
  <c r="N384" i="8"/>
  <c r="N430" i="8"/>
  <c r="N424" i="8"/>
  <c r="N433" i="8"/>
  <c r="N435" i="8"/>
  <c r="N351" i="8"/>
  <c r="N449" i="8"/>
  <c r="N441" i="8"/>
  <c r="N353" i="8"/>
  <c r="N391" i="8"/>
  <c r="N387" i="8"/>
  <c r="N412" i="8"/>
  <c r="N360" i="8"/>
  <c r="N451" i="8"/>
  <c r="N452" i="8"/>
  <c r="N401" i="8"/>
  <c r="N457" i="8"/>
  <c r="N381" i="8"/>
  <c r="N389" i="8"/>
  <c r="N341" i="8"/>
  <c r="N354" i="8"/>
  <c r="N339" i="8"/>
  <c r="N348" i="8"/>
  <c r="N419" i="8"/>
  <c r="N398" i="8"/>
  <c r="N445" i="8"/>
  <c r="N361" i="8"/>
  <c r="N455" i="8"/>
  <c r="N413" i="8"/>
  <c r="N393" i="8"/>
  <c r="N453" i="8"/>
  <c r="N418" i="8"/>
  <c r="N372" i="8"/>
  <c r="N347" i="8"/>
  <c r="N423" i="8"/>
  <c r="N421" i="8"/>
  <c r="N429" i="8"/>
  <c r="N426" i="8"/>
  <c r="N399" i="8"/>
  <c r="N444" i="8"/>
  <c r="N404" i="8"/>
  <c r="N344" i="8"/>
  <c r="N406" i="8"/>
  <c r="N357" i="8"/>
  <c r="N385" i="8"/>
  <c r="N345" i="8"/>
  <c r="N411" i="8"/>
  <c r="N443" i="8"/>
  <c r="N356" i="8"/>
  <c r="N432" i="8"/>
  <c r="N417" i="8"/>
  <c r="N395" i="8"/>
  <c r="N427" i="8"/>
  <c r="N397" i="8"/>
  <c r="N350" i="8"/>
  <c r="N446" i="8"/>
  <c r="N365" i="8"/>
  <c r="N405" i="8"/>
  <c r="N338" i="8"/>
  <c r="N402" i="8"/>
  <c r="N438" i="8"/>
  <c r="N450" i="8"/>
  <c r="N343" i="8"/>
  <c r="N334" i="8"/>
  <c r="N358" i="8"/>
  <c r="N56" i="8" s="1"/>
  <c r="N60" i="8" s="1"/>
  <c r="N378" i="8"/>
  <c r="N349" i="8"/>
  <c r="N379" i="8"/>
  <c r="N340" i="8"/>
  <c r="N64" i="8" s="1"/>
  <c r="N346" i="8"/>
  <c r="N337" i="8"/>
  <c r="N63" i="8" s="1"/>
  <c r="N439" i="8"/>
  <c r="N65" i="8" s="1"/>
  <c r="N42" i="8" s="1"/>
  <c r="N359" i="8"/>
  <c r="N373" i="8"/>
  <c r="N374" i="8"/>
  <c r="N368" i="8"/>
  <c r="N369" i="8"/>
  <c r="N363" i="8"/>
  <c r="N364" i="8"/>
  <c r="K68" i="14"/>
  <c r="K75" i="14" s="1"/>
  <c r="K151" i="14" s="1"/>
  <c r="K152" i="14" s="1"/>
  <c r="K72" i="14"/>
  <c r="K70" i="14"/>
  <c r="Q100" i="8"/>
  <c r="Q98" i="8"/>
  <c r="Q95" i="8"/>
  <c r="P441" i="15"/>
  <c r="N74" i="15"/>
  <c r="N69" i="15"/>
  <c r="N67" i="15"/>
  <c r="N76" i="14"/>
  <c r="N80" i="14" s="1"/>
  <c r="N77" i="14"/>
  <c r="O4" i="8"/>
  <c r="N5" i="8"/>
  <c r="N71" i="14"/>
  <c r="N143" i="14"/>
  <c r="O92" i="8"/>
  <c r="O91" i="8"/>
  <c r="O108" i="8" s="1"/>
  <c r="O81" i="8"/>
  <c r="O89" i="8" s="1"/>
  <c r="O136" i="8"/>
  <c r="O149" i="8"/>
  <c r="O79" i="8"/>
  <c r="O82" i="8"/>
  <c r="O156" i="8"/>
  <c r="O123" i="8"/>
  <c r="O40" i="8" s="1"/>
  <c r="O141" i="8"/>
  <c r="O32" i="8" s="1"/>
  <c r="O104" i="8"/>
  <c r="O105" i="8"/>
  <c r="O106" i="8"/>
  <c r="O76" i="8"/>
  <c r="O80" i="8" s="1"/>
  <c r="O77" i="8"/>
  <c r="O128" i="8"/>
  <c r="O99" i="8"/>
  <c r="O160" i="8"/>
  <c r="O95" i="8"/>
  <c r="O97" i="8"/>
  <c r="O98" i="8"/>
  <c r="O102" i="8"/>
  <c r="O103" i="8"/>
  <c r="O100" i="8"/>
  <c r="O96" i="8"/>
  <c r="Q99" i="8"/>
  <c r="O93" i="8"/>
  <c r="O107" i="8"/>
  <c r="P86" i="8"/>
  <c r="Q81" i="14"/>
  <c r="Q84" i="14" s="1"/>
  <c r="Q119" i="14"/>
  <c r="Q79" i="14"/>
  <c r="Q139" i="14"/>
  <c r="Q124" i="14"/>
  <c r="Q32" i="14" s="1"/>
  <c r="Q132" i="14"/>
  <c r="Q82" i="14"/>
  <c r="Q111" i="14"/>
  <c r="Q87" i="14"/>
  <c r="Q86" i="14"/>
  <c r="Q91" i="14" s="1"/>
  <c r="Q143" i="14"/>
  <c r="P63" i="15"/>
  <c r="O83" i="8"/>
  <c r="O84" i="8"/>
  <c r="M367" i="14"/>
  <c r="M411" i="14"/>
  <c r="M339" i="14"/>
  <c r="M416" i="14"/>
  <c r="M396" i="14"/>
  <c r="M349" i="14"/>
  <c r="M436" i="14"/>
  <c r="M342" i="14"/>
  <c r="M437" i="14"/>
  <c r="M389" i="14"/>
  <c r="M390" i="14"/>
  <c r="M422" i="14"/>
  <c r="M429" i="14"/>
  <c r="M393" i="14"/>
  <c r="M361" i="14"/>
  <c r="M403" i="14"/>
  <c r="M351" i="14"/>
  <c r="M425" i="14"/>
  <c r="M318" i="14"/>
  <c r="M357" i="14"/>
  <c r="M439" i="14"/>
  <c r="M362" i="14"/>
  <c r="M338" i="14"/>
  <c r="M379" i="14"/>
  <c r="M334" i="14"/>
  <c r="M377" i="14"/>
  <c r="M398" i="14"/>
  <c r="M400" i="14"/>
  <c r="M364" i="14"/>
  <c r="M407" i="14"/>
  <c r="M321" i="14"/>
  <c r="M331" i="14"/>
  <c r="M434" i="14"/>
  <c r="M384" i="14"/>
  <c r="M402" i="14"/>
  <c r="M426" i="14"/>
  <c r="M409" i="14"/>
  <c r="M382" i="14"/>
  <c r="M395" i="14"/>
  <c r="M375" i="14"/>
  <c r="M413" i="14"/>
  <c r="M386" i="14"/>
  <c r="M344" i="14"/>
  <c r="M380" i="14"/>
  <c r="M383" i="14"/>
  <c r="M428" i="14"/>
  <c r="M341" i="14"/>
  <c r="M438" i="14"/>
  <c r="M354" i="14"/>
  <c r="M340" i="14"/>
  <c r="M405" i="14"/>
  <c r="M417" i="14"/>
  <c r="M415" i="14"/>
  <c r="M355" i="14"/>
  <c r="M391" i="14"/>
  <c r="M388" i="14"/>
  <c r="M424" i="14"/>
  <c r="M345" i="14"/>
  <c r="M356" i="14"/>
  <c r="M421" i="14"/>
  <c r="M412" i="14"/>
  <c r="M363" i="14"/>
  <c r="M335" i="14"/>
  <c r="M336" i="14"/>
  <c r="M374" i="14"/>
  <c r="M423" i="14"/>
  <c r="M410" i="14"/>
  <c r="M350" i="14"/>
  <c r="M392" i="14"/>
  <c r="M435" i="14"/>
  <c r="M372" i="14"/>
  <c r="M316" i="14"/>
  <c r="M347" i="14"/>
  <c r="M352" i="14"/>
  <c r="M418" i="14"/>
  <c r="M414" i="14"/>
  <c r="M433" i="14"/>
  <c r="M387" i="14"/>
  <c r="M348" i="14"/>
  <c r="M430" i="14"/>
  <c r="M365" i="14"/>
  <c r="M419" i="14"/>
  <c r="M432" i="14"/>
  <c r="M330" i="14"/>
  <c r="M399" i="14"/>
  <c r="M381" i="14"/>
  <c r="M394" i="14"/>
  <c r="M366" i="14"/>
  <c r="M358" i="14"/>
  <c r="M322" i="14"/>
  <c r="M369" i="14"/>
  <c r="M359" i="14"/>
  <c r="M327" i="14"/>
  <c r="M325" i="14"/>
  <c r="M376" i="14"/>
  <c r="M427" i="14"/>
  <c r="M420" i="14"/>
  <c r="M406" i="14"/>
  <c r="M373" i="14"/>
  <c r="M360" i="14"/>
  <c r="M328" i="14"/>
  <c r="M370" i="14"/>
  <c r="M368" i="14"/>
  <c r="M404" i="14"/>
  <c r="M401" i="14"/>
  <c r="M371" i="14"/>
  <c r="M324" i="14"/>
  <c r="M353" i="14"/>
  <c r="M319" i="14"/>
  <c r="M440" i="14"/>
  <c r="M343" i="14"/>
  <c r="M408" i="14"/>
  <c r="M397" i="14"/>
  <c r="M431" i="14"/>
  <c r="M346" i="14"/>
  <c r="M378" i="14"/>
  <c r="M333" i="14"/>
  <c r="M385" i="14"/>
  <c r="M329" i="14"/>
  <c r="M317" i="14"/>
  <c r="M320" i="14"/>
  <c r="M337" i="14"/>
  <c r="M323" i="14"/>
  <c r="M332" i="14"/>
  <c r="M326" i="14"/>
  <c r="M5" i="14"/>
  <c r="N92" i="14"/>
  <c r="P83" i="8"/>
  <c r="L68" i="14"/>
  <c r="L75" i="14" s="1"/>
  <c r="P84" i="8"/>
  <c r="P92" i="14"/>
  <c r="P94" i="14" s="1"/>
  <c r="M94" i="14"/>
  <c r="L58" i="14"/>
  <c r="L441" i="14"/>
  <c r="Q97" i="8"/>
  <c r="Q103" i="8"/>
  <c r="M62" i="8"/>
  <c r="M66" i="8" s="1"/>
  <c r="N92" i="15"/>
  <c r="M92" i="15"/>
  <c r="O88" i="8"/>
  <c r="S99" i="33"/>
  <c r="F99" i="33" s="1"/>
  <c r="Q83" i="33"/>
  <c r="D83" i="33" s="1"/>
  <c r="Q114" i="33"/>
  <c r="D114" i="33" s="1"/>
  <c r="Q100" i="33"/>
  <c r="D100" i="33" s="1"/>
  <c r="R114" i="33"/>
  <c r="E114" i="33" s="1"/>
  <c r="R98" i="33"/>
  <c r="E98" i="33" s="1"/>
  <c r="R84" i="33"/>
  <c r="E84" i="33" s="1"/>
  <c r="R83" i="33"/>
  <c r="E83" i="33" s="1"/>
  <c r="AE91" i="33"/>
  <c r="E91" i="33" s="1"/>
  <c r="AE92" i="33"/>
  <c r="E92" i="33" s="1"/>
  <c r="AE116" i="33"/>
  <c r="E116" i="33" s="1"/>
  <c r="AE112" i="33"/>
  <c r="AE108" i="33"/>
  <c r="AE126" i="33"/>
  <c r="E126" i="33" s="1"/>
  <c r="AE111" i="33"/>
  <c r="AE107" i="33"/>
  <c r="AE127" i="33"/>
  <c r="E127" i="33" s="1"/>
  <c r="AE122" i="33"/>
  <c r="E122" i="33" s="1"/>
  <c r="Q150" i="33"/>
  <c r="D150" i="33" s="1"/>
  <c r="Q151" i="33"/>
  <c r="D151" i="33" s="1"/>
  <c r="Q135" i="33"/>
  <c r="D135" i="33" s="1"/>
  <c r="Q103" i="33"/>
  <c r="D103" i="33" s="1"/>
  <c r="Q134" i="33"/>
  <c r="D134" i="33" s="1"/>
  <c r="Q109" i="33"/>
  <c r="D109" i="33" s="1"/>
  <c r="Q138" i="33"/>
  <c r="D138" i="33" s="1"/>
  <c r="Q133" i="33"/>
  <c r="D133" i="33" s="1"/>
  <c r="Q87" i="33"/>
  <c r="D87" i="33" s="1"/>
  <c r="Q108" i="33"/>
  <c r="D108" i="33" s="1"/>
  <c r="R89" i="33"/>
  <c r="E89" i="33" s="1"/>
  <c r="Q111" i="33"/>
  <c r="D111" i="33" s="1"/>
  <c r="Q143" i="33"/>
  <c r="D143" i="33" s="1"/>
  <c r="Q136" i="33"/>
  <c r="D136" i="33" s="1"/>
  <c r="F38" i="32"/>
  <c r="AE17" i="33"/>
  <c r="E17" i="33" s="1"/>
  <c r="S121" i="33"/>
  <c r="F121" i="33" s="1"/>
  <c r="Q63" i="33"/>
  <c r="D63" i="33" s="1"/>
  <c r="Q84" i="33"/>
  <c r="D84" i="33" s="1"/>
  <c r="Q85" i="33"/>
  <c r="D85" i="33" s="1"/>
  <c r="Q89" i="33"/>
  <c r="D89" i="33" s="1"/>
  <c r="R63" i="33"/>
  <c r="E63" i="33" s="1"/>
  <c r="R85" i="33"/>
  <c r="E85" i="33" s="1"/>
  <c r="AE90" i="33"/>
  <c r="E90" i="33" s="1"/>
  <c r="AE117" i="33"/>
  <c r="E117" i="33" s="1"/>
  <c r="AE115" i="33"/>
  <c r="E115" i="33" s="1"/>
  <c r="AE110" i="33"/>
  <c r="AE145" i="33"/>
  <c r="E145" i="33" s="1"/>
  <c r="AE123" i="33"/>
  <c r="E123" i="33" s="1"/>
  <c r="AE109" i="33"/>
  <c r="AE146" i="33"/>
  <c r="E146" i="33" s="1"/>
  <c r="AE124" i="33"/>
  <c r="E124" i="33" s="1"/>
  <c r="Q64" i="33"/>
  <c r="D64" i="33" s="1"/>
  <c r="Q105" i="33"/>
  <c r="D105" i="33" s="1"/>
  <c r="Q149" i="33"/>
  <c r="D149" i="33" s="1"/>
  <c r="Q152" i="33"/>
  <c r="D152" i="33" s="1"/>
  <c r="Q130" i="33"/>
  <c r="D130" i="33" s="1"/>
  <c r="Q131" i="33"/>
  <c r="D131" i="33" s="1"/>
  <c r="Q132" i="33"/>
  <c r="D132" i="33" s="1"/>
  <c r="Q139" i="33"/>
  <c r="D139" i="33" s="1"/>
  <c r="Q110" i="33"/>
  <c r="D110" i="33" s="1"/>
  <c r="Q142" i="33"/>
  <c r="D142" i="33" s="1"/>
  <c r="Q112" i="33"/>
  <c r="D112" i="33" s="1"/>
  <c r="AI105" i="33"/>
  <c r="Q137" i="33"/>
  <c r="D137" i="33" s="1"/>
  <c r="BI16" i="12"/>
  <c r="BW16" i="12"/>
  <c r="R16" i="12"/>
  <c r="E16" i="12" s="1"/>
  <c r="R16" i="33" s="1"/>
  <c r="AD11" i="33"/>
  <c r="AT16" i="12"/>
  <c r="Q120" i="33"/>
  <c r="D120" i="33" s="1"/>
  <c r="R119" i="33"/>
  <c r="E119" i="33" s="1"/>
  <c r="AI35" i="33"/>
  <c r="AI34" i="33"/>
  <c r="Q61" i="33"/>
  <c r="D61" i="33" s="1"/>
  <c r="Q60" i="33"/>
  <c r="D60" i="33" s="1"/>
  <c r="AI61" i="33"/>
  <c r="AI59" i="33"/>
  <c r="Q33" i="33"/>
  <c r="D33" i="33" s="1"/>
  <c r="Q35" i="33"/>
  <c r="D35" i="33" s="1"/>
  <c r="R120" i="33"/>
  <c r="E120" i="33" s="1"/>
  <c r="Q119" i="33"/>
  <c r="D119" i="33" s="1"/>
  <c r="AI33" i="33"/>
  <c r="AI60" i="33"/>
  <c r="Q34" i="33"/>
  <c r="D34" i="33" s="1"/>
  <c r="L216" i="26"/>
  <c r="L214" i="26"/>
  <c r="M5" i="26"/>
  <c r="M216" i="26" s="1"/>
  <c r="L217" i="26"/>
  <c r="L211" i="26"/>
  <c r="L210" i="26"/>
  <c r="L46" i="26" s="1"/>
  <c r="L209" i="26"/>
  <c r="BX98" i="12"/>
  <c r="R7" i="33"/>
  <c r="L205" i="32"/>
  <c r="K25" i="21" s="1"/>
  <c r="F56" i="27"/>
  <c r="AE37" i="12" s="1"/>
  <c r="BX125" i="12"/>
  <c r="F75" i="27"/>
  <c r="AE56" i="12" s="1"/>
  <c r="K218" i="30"/>
  <c r="F69" i="26"/>
  <c r="R50" i="12" s="1"/>
  <c r="F72" i="27"/>
  <c r="AE53" i="12" s="1"/>
  <c r="F69" i="27"/>
  <c r="AE50" i="12" s="1"/>
  <c r="N203" i="32"/>
  <c r="O7" i="30"/>
  <c r="BX118" i="12"/>
  <c r="S144" i="12"/>
  <c r="N101" i="32"/>
  <c r="AM82" i="33" s="1"/>
  <c r="AF65" i="12"/>
  <c r="I185" i="28"/>
  <c r="I95" i="28" s="1"/>
  <c r="AU76" i="12" s="1"/>
  <c r="J96" i="32"/>
  <c r="AI77" i="33" s="1"/>
  <c r="I185" i="27"/>
  <c r="I95" i="27" s="1"/>
  <c r="K78" i="32"/>
  <c r="K80" i="32"/>
  <c r="K79" i="32"/>
  <c r="O99" i="32"/>
  <c r="AN80" i="33" s="1"/>
  <c r="K141" i="32"/>
  <c r="AJ121" i="33" s="1"/>
  <c r="K115" i="32"/>
  <c r="AJ95" i="33" s="1"/>
  <c r="K120" i="32"/>
  <c r="AJ100" i="33" s="1"/>
  <c r="K122" i="32"/>
  <c r="AJ102" i="33" s="1"/>
  <c r="K124" i="32"/>
  <c r="AJ104" i="33" s="1"/>
  <c r="K123" i="32"/>
  <c r="AJ103" i="33" s="1"/>
  <c r="K134" i="32"/>
  <c r="AJ114" i="33" s="1"/>
  <c r="K121" i="32"/>
  <c r="AJ101" i="33" s="1"/>
  <c r="K109" i="32"/>
  <c r="AJ89" i="33" s="1"/>
  <c r="J218" i="27"/>
  <c r="AT143" i="12"/>
  <c r="AT142" i="12"/>
  <c r="AT35" i="12"/>
  <c r="AT34" i="12"/>
  <c r="AT33" i="12"/>
  <c r="BF74" i="12"/>
  <c r="BF77" i="12"/>
  <c r="BF73" i="12"/>
  <c r="BF66" i="12"/>
  <c r="K140" i="32"/>
  <c r="AJ120" i="33" s="1"/>
  <c r="T142" i="12"/>
  <c r="T34" i="12"/>
  <c r="T35" i="12"/>
  <c r="BE144" i="12"/>
  <c r="BR144" i="12"/>
  <c r="AG33" i="12"/>
  <c r="BX128" i="12"/>
  <c r="BX126" i="12"/>
  <c r="BI98" i="12"/>
  <c r="BI95" i="12"/>
  <c r="BI115" i="12"/>
  <c r="AG142" i="12"/>
  <c r="N61" i="32"/>
  <c r="AM42" i="33" s="1"/>
  <c r="O6" i="32"/>
  <c r="BS35" i="12"/>
  <c r="J126" i="32"/>
  <c r="BG143" i="12"/>
  <c r="BG142" i="12"/>
  <c r="BG35" i="12"/>
  <c r="BG33" i="12"/>
  <c r="BG34" i="12"/>
  <c r="BT33" i="12"/>
  <c r="BT34" i="12"/>
  <c r="AF77" i="12"/>
  <c r="AF74" i="12"/>
  <c r="D12" i="33"/>
  <c r="K139" i="32"/>
  <c r="AJ119" i="33" s="1"/>
  <c r="F92" i="32"/>
  <c r="AE73" i="33" s="1"/>
  <c r="E67" i="33"/>
  <c r="T143" i="12"/>
  <c r="T141" i="12"/>
  <c r="T33" i="12"/>
  <c r="AG34" i="12"/>
  <c r="AS141" i="12"/>
  <c r="AS144" i="12"/>
  <c r="BI122" i="12"/>
  <c r="BI126" i="12"/>
  <c r="BI90" i="12"/>
  <c r="AG143" i="12"/>
  <c r="AF141" i="12"/>
  <c r="AF144" i="12"/>
  <c r="BF141" i="12"/>
  <c r="BF144" i="12"/>
  <c r="J118" i="32"/>
  <c r="AI98" i="33" s="1"/>
  <c r="M205" i="26"/>
  <c r="M18" i="4" s="1"/>
  <c r="F72" i="26"/>
  <c r="R53" i="12" s="1"/>
  <c r="T99" i="12"/>
  <c r="G99" i="12" s="1"/>
  <c r="S84" i="12"/>
  <c r="F84" i="12" s="1"/>
  <c r="Q88" i="12"/>
  <c r="D88" i="12" s="1"/>
  <c r="Q48" i="12"/>
  <c r="D48" i="12" s="1"/>
  <c r="E65" i="27"/>
  <c r="AD46" i="12" s="1"/>
  <c r="AD44" i="12"/>
  <c r="E62" i="27"/>
  <c r="AD43" i="12" s="1"/>
  <c r="AD41" i="12"/>
  <c r="Q45" i="12"/>
  <c r="D45" i="12" s="1"/>
  <c r="Q42" i="12"/>
  <c r="D42" i="12" s="1"/>
  <c r="Q40" i="12"/>
  <c r="D40" i="12" s="1"/>
  <c r="E68" i="27"/>
  <c r="AD49" i="12" s="1"/>
  <c r="AD47" i="12"/>
  <c r="M204" i="32"/>
  <c r="M205" i="32" s="1"/>
  <c r="G63" i="27"/>
  <c r="AF44" i="12" s="1"/>
  <c r="AF26" i="12"/>
  <c r="F62" i="27"/>
  <c r="AE43" i="12" s="1"/>
  <c r="AE42" i="12"/>
  <c r="F67" i="27"/>
  <c r="AE48" i="12" s="1"/>
  <c r="AE30" i="12"/>
  <c r="F67" i="26"/>
  <c r="R48" i="12" s="1"/>
  <c r="R30" i="12"/>
  <c r="G61" i="26"/>
  <c r="S42" i="12" s="1"/>
  <c r="S24" i="12"/>
  <c r="G59" i="26"/>
  <c r="S40" i="12" s="1"/>
  <c r="S32" i="12"/>
  <c r="F62" i="26"/>
  <c r="R43" i="12" s="1"/>
  <c r="R41" i="12"/>
  <c r="F56" i="26"/>
  <c r="R25" i="12"/>
  <c r="F62" i="28"/>
  <c r="AR43" i="12" s="1"/>
  <c r="G61" i="28"/>
  <c r="AS42" i="12" s="1"/>
  <c r="AS24" i="12"/>
  <c r="G63" i="28"/>
  <c r="AS44" i="12" s="1"/>
  <c r="AS26" i="12"/>
  <c r="F69" i="28"/>
  <c r="AR50" i="12" s="1"/>
  <c r="AR25" i="12"/>
  <c r="E62" i="28"/>
  <c r="AQ43" i="12" s="1"/>
  <c r="AQ41" i="12"/>
  <c r="E65" i="28"/>
  <c r="AQ46" i="12" s="1"/>
  <c r="AQ44" i="12"/>
  <c r="F67" i="28"/>
  <c r="AR48" i="12" s="1"/>
  <c r="AR30" i="12"/>
  <c r="G59" i="28"/>
  <c r="AS40" i="12" s="1"/>
  <c r="AS32" i="12"/>
  <c r="E68" i="28"/>
  <c r="AQ49" i="12" s="1"/>
  <c r="AQ47" i="12"/>
  <c r="L34" i="30"/>
  <c r="G61" i="29"/>
  <c r="BF42" i="12" s="1"/>
  <c r="BF24" i="12"/>
  <c r="Q106" i="12"/>
  <c r="AQ106" i="12"/>
  <c r="AD106" i="12"/>
  <c r="BF105" i="12"/>
  <c r="I185" i="26"/>
  <c r="I95" i="26" s="1"/>
  <c r="F114" i="32"/>
  <c r="AE94" i="33" s="1"/>
  <c r="E94" i="33" s="1"/>
  <c r="F138" i="32"/>
  <c r="AE118" i="33" s="1"/>
  <c r="F173" i="32"/>
  <c r="AE153" i="33" s="1"/>
  <c r="G143" i="32"/>
  <c r="G146" i="32"/>
  <c r="G165" i="32"/>
  <c r="G128" i="32"/>
  <c r="G130" i="32"/>
  <c r="G132" i="32"/>
  <c r="G142" i="32"/>
  <c r="G144" i="32"/>
  <c r="G147" i="32"/>
  <c r="G166" i="32"/>
  <c r="G127" i="32"/>
  <c r="G129" i="32"/>
  <c r="G131" i="32"/>
  <c r="BS111" i="12" s="1"/>
  <c r="G135" i="32"/>
  <c r="G137" i="32"/>
  <c r="G136" i="32"/>
  <c r="G86" i="32"/>
  <c r="AF67" i="33" s="1"/>
  <c r="BS64" i="12"/>
  <c r="F133" i="32"/>
  <c r="AE113" i="33" s="1"/>
  <c r="F148" i="32"/>
  <c r="F145" i="32"/>
  <c r="G59" i="29"/>
  <c r="BF40" i="12" s="1"/>
  <c r="G59" i="27"/>
  <c r="AF40" i="12" s="1"/>
  <c r="I64" i="32"/>
  <c r="AH45" i="33" s="1"/>
  <c r="K52" i="32"/>
  <c r="K54" i="32"/>
  <c r="K53" i="32"/>
  <c r="J67" i="32"/>
  <c r="AI48" i="33" s="1"/>
  <c r="AI27" i="33"/>
  <c r="S88" i="12"/>
  <c r="AR27" i="12"/>
  <c r="AE27" i="12"/>
  <c r="R27" i="12"/>
  <c r="BF153" i="12"/>
  <c r="AE29" i="12"/>
  <c r="AR29" i="12"/>
  <c r="R29" i="12"/>
  <c r="BF88" i="12"/>
  <c r="BF140" i="12"/>
  <c r="G60" i="29"/>
  <c r="G63" i="29"/>
  <c r="BF44" i="12" s="1"/>
  <c r="BF82" i="12"/>
  <c r="S153" i="12"/>
  <c r="AF153" i="12"/>
  <c r="AF88" i="12"/>
  <c r="S140" i="12"/>
  <c r="AF82" i="12"/>
  <c r="AS153" i="12"/>
  <c r="AS77" i="12"/>
  <c r="AS73" i="12"/>
  <c r="F72" i="28"/>
  <c r="AR53" i="12" s="1"/>
  <c r="F75" i="28"/>
  <c r="AR56" i="12" s="1"/>
  <c r="E56" i="28"/>
  <c r="AQ37" i="12" s="1"/>
  <c r="E69" i="28"/>
  <c r="AQ50" i="12" s="1"/>
  <c r="E72" i="28"/>
  <c r="AQ53" i="12" s="1"/>
  <c r="E75" i="28"/>
  <c r="AQ56" i="12" s="1"/>
  <c r="E76" i="28"/>
  <c r="AQ57" i="12" s="1"/>
  <c r="E57" i="28"/>
  <c r="AQ38" i="12" s="1"/>
  <c r="E70" i="28"/>
  <c r="AQ51" i="12" s="1"/>
  <c r="E73" i="28"/>
  <c r="AQ54" i="12" s="1"/>
  <c r="E55" i="28"/>
  <c r="AQ36" i="12" s="1"/>
  <c r="E58" i="28"/>
  <c r="AQ39" i="12" s="1"/>
  <c r="E71" i="28"/>
  <c r="AQ52" i="12" s="1"/>
  <c r="E74" i="28"/>
  <c r="AQ55" i="12" s="1"/>
  <c r="E77" i="28"/>
  <c r="AQ58" i="12" s="1"/>
  <c r="F56" i="28"/>
  <c r="AR37" i="12" s="1"/>
  <c r="E68" i="26"/>
  <c r="E72" i="26"/>
  <c r="E69" i="26"/>
  <c r="E75" i="26"/>
  <c r="E56" i="26"/>
  <c r="Q37" i="12" s="1"/>
  <c r="AD10" i="12"/>
  <c r="E65" i="26"/>
  <c r="E77" i="27"/>
  <c r="AD58" i="12" s="1"/>
  <c r="E71" i="27"/>
  <c r="AD52" i="12" s="1"/>
  <c r="E55" i="27"/>
  <c r="AD36" i="12" s="1"/>
  <c r="E58" i="27"/>
  <c r="AD39" i="12" s="1"/>
  <c r="E74" i="27"/>
  <c r="AD55" i="12" s="1"/>
  <c r="E77" i="26"/>
  <c r="Q58" i="12" s="1"/>
  <c r="E58" i="26"/>
  <c r="E74" i="26"/>
  <c r="E71" i="26"/>
  <c r="E55" i="26"/>
  <c r="Q36" i="12" s="1"/>
  <c r="E62" i="26"/>
  <c r="E73" i="27"/>
  <c r="AD54" i="12" s="1"/>
  <c r="E70" i="27"/>
  <c r="AD51" i="12" s="1"/>
  <c r="E57" i="27"/>
  <c r="AD38" i="12" s="1"/>
  <c r="E76" i="27"/>
  <c r="AD57" i="12" s="1"/>
  <c r="E56" i="27"/>
  <c r="AD37" i="12" s="1"/>
  <c r="E75" i="27"/>
  <c r="AD56" i="12" s="1"/>
  <c r="E72" i="27"/>
  <c r="AD53" i="12" s="1"/>
  <c r="E69" i="27"/>
  <c r="AD50" i="12" s="1"/>
  <c r="E70" i="26"/>
  <c r="E57" i="26"/>
  <c r="E76" i="26"/>
  <c r="E73" i="26"/>
  <c r="H63" i="26"/>
  <c r="T44" i="12" s="1"/>
  <c r="AR112" i="12"/>
  <c r="R112" i="12"/>
  <c r="AE112" i="12"/>
  <c r="AR64" i="12"/>
  <c r="R64" i="12"/>
  <c r="AE64" i="12"/>
  <c r="AR111" i="12"/>
  <c r="R111" i="12"/>
  <c r="AE111" i="12"/>
  <c r="T134" i="12"/>
  <c r="T103" i="12"/>
  <c r="T84" i="12"/>
  <c r="T63" i="12"/>
  <c r="T23" i="12"/>
  <c r="T132" i="12"/>
  <c r="T118" i="12"/>
  <c r="T105" i="12"/>
  <c r="T86" i="12"/>
  <c r="T75" i="12"/>
  <c r="T150" i="12"/>
  <c r="T137" i="12"/>
  <c r="T133" i="12"/>
  <c r="T129" i="12"/>
  <c r="T120" i="12"/>
  <c r="T114" i="12"/>
  <c r="T100" i="12"/>
  <c r="T85" i="12"/>
  <c r="T80" i="12"/>
  <c r="T72" i="12"/>
  <c r="AG148" i="12"/>
  <c r="AG129" i="12"/>
  <c r="AG152" i="12"/>
  <c r="AG120" i="12"/>
  <c r="AG134" i="12"/>
  <c r="AG128" i="12"/>
  <c r="AG89" i="12"/>
  <c r="AG61" i="12"/>
  <c r="AG149" i="12"/>
  <c r="AG137" i="12"/>
  <c r="AG133" i="12"/>
  <c r="AG98" i="12"/>
  <c r="AG85" i="12"/>
  <c r="AG119" i="12"/>
  <c r="AG114" i="12"/>
  <c r="AG105" i="12"/>
  <c r="AG86" i="12"/>
  <c r="AG81" i="12"/>
  <c r="AG74" i="12"/>
  <c r="AG59" i="12"/>
  <c r="AG75" i="12"/>
  <c r="AG60" i="12"/>
  <c r="AG32" i="12"/>
  <c r="AG26" i="12"/>
  <c r="S77" i="12"/>
  <c r="G63" i="26"/>
  <c r="S44" i="12" s="1"/>
  <c r="S73" i="12"/>
  <c r="AF140" i="12"/>
  <c r="AR108" i="12"/>
  <c r="R108" i="12"/>
  <c r="AE108" i="12"/>
  <c r="AR107" i="12"/>
  <c r="R107" i="12"/>
  <c r="AE107" i="12"/>
  <c r="AR109" i="12"/>
  <c r="R109" i="12"/>
  <c r="AE109" i="12"/>
  <c r="AR110" i="12"/>
  <c r="R110" i="12"/>
  <c r="AE110" i="12"/>
  <c r="AT60" i="12"/>
  <c r="AT74" i="12"/>
  <c r="AT79" i="12"/>
  <c r="AT83" i="12"/>
  <c r="AT87" i="12"/>
  <c r="AT59" i="12"/>
  <c r="AT75" i="12"/>
  <c r="AT86" i="12"/>
  <c r="AT105" i="12"/>
  <c r="AT132" i="12"/>
  <c r="AT136" i="12"/>
  <c r="AT63" i="12"/>
  <c r="AT81" i="12"/>
  <c r="AT85" i="12"/>
  <c r="AT100" i="12"/>
  <c r="AT114" i="12"/>
  <c r="AT72" i="12"/>
  <c r="AT89" i="12"/>
  <c r="AT134" i="12"/>
  <c r="AT150" i="12"/>
  <c r="AT66" i="12"/>
  <c r="AT120" i="12"/>
  <c r="AT135" i="12"/>
  <c r="AT24" i="12"/>
  <c r="AT61" i="12"/>
  <c r="AT84" i="12"/>
  <c r="AT133" i="12"/>
  <c r="AT78" i="12"/>
  <c r="AT119" i="12"/>
  <c r="AT130" i="12"/>
  <c r="AT138" i="12"/>
  <c r="AT148" i="12"/>
  <c r="AT152" i="12"/>
  <c r="AT80" i="12"/>
  <c r="AT103" i="12"/>
  <c r="AT131" i="12"/>
  <c r="AT139" i="12"/>
  <c r="AT149" i="12"/>
  <c r="AT26" i="12"/>
  <c r="AT129" i="12"/>
  <c r="AT137" i="12"/>
  <c r="AT151" i="12"/>
  <c r="T151" i="12"/>
  <c r="T138" i="12"/>
  <c r="T130" i="12"/>
  <c r="T79" i="12"/>
  <c r="T59" i="12"/>
  <c r="T149" i="12"/>
  <c r="T136" i="12"/>
  <c r="T119" i="12"/>
  <c r="T89" i="12"/>
  <c r="T81" i="12"/>
  <c r="T61" i="12"/>
  <c r="T152" i="12"/>
  <c r="T148" i="12"/>
  <c r="T139" i="12"/>
  <c r="T135" i="12"/>
  <c r="T131" i="12"/>
  <c r="T87" i="12"/>
  <c r="T83" i="12"/>
  <c r="T78" i="12"/>
  <c r="T74" i="12"/>
  <c r="T60" i="12"/>
  <c r="AG136" i="12"/>
  <c r="AG87" i="12"/>
  <c r="AG132" i="12"/>
  <c r="AG80" i="12"/>
  <c r="AG150" i="12"/>
  <c r="AG138" i="12"/>
  <c r="AG130" i="12"/>
  <c r="AG100" i="12"/>
  <c r="AG83" i="12"/>
  <c r="AG151" i="12"/>
  <c r="AG139" i="12"/>
  <c r="AG135" i="12"/>
  <c r="AG131" i="12"/>
  <c r="AG78" i="12"/>
  <c r="AG66" i="12"/>
  <c r="AG103" i="12"/>
  <c r="AG94" i="12"/>
  <c r="AG84" i="12"/>
  <c r="AG79" i="12"/>
  <c r="AG72" i="12"/>
  <c r="AG63" i="12"/>
  <c r="AG24" i="12"/>
  <c r="S82" i="12"/>
  <c r="AF25" i="12"/>
  <c r="G60" i="27"/>
  <c r="AF73" i="12"/>
  <c r="AS88" i="12"/>
  <c r="AS25" i="12"/>
  <c r="G60" i="28"/>
  <c r="AS140" i="12"/>
  <c r="AS82" i="12"/>
  <c r="S25" i="12"/>
  <c r="AU91" i="12"/>
  <c r="AU115" i="12"/>
  <c r="AU90" i="12"/>
  <c r="AU116" i="12"/>
  <c r="AU124" i="12"/>
  <c r="AU145" i="12"/>
  <c r="AU146" i="12"/>
  <c r="AU104" i="12"/>
  <c r="AU126" i="12"/>
  <c r="I184" i="27"/>
  <c r="I184" i="29"/>
  <c r="I184" i="26"/>
  <c r="I184" i="32"/>
  <c r="I184" i="28"/>
  <c r="I184" i="30"/>
  <c r="I78" i="30" s="1"/>
  <c r="U69" i="12"/>
  <c r="U71" i="12"/>
  <c r="U91" i="12"/>
  <c r="U93" i="12"/>
  <c r="U96" i="12"/>
  <c r="U101" i="12"/>
  <c r="U121" i="12"/>
  <c r="U126" i="12"/>
  <c r="U145" i="12"/>
  <c r="U147" i="12"/>
  <c r="U70" i="12"/>
  <c r="U90" i="12"/>
  <c r="U127" i="12"/>
  <c r="U146" i="12"/>
  <c r="U97" i="12"/>
  <c r="U122" i="12"/>
  <c r="BG23" i="12"/>
  <c r="BG60" i="12"/>
  <c r="BG74" i="12"/>
  <c r="BG79" i="12"/>
  <c r="BG83" i="12"/>
  <c r="BG87" i="12"/>
  <c r="BG114" i="12"/>
  <c r="BG119" i="12"/>
  <c r="BG130" i="12"/>
  <c r="BG134" i="12"/>
  <c r="BG138" i="12"/>
  <c r="BG148" i="12"/>
  <c r="BG152" i="12"/>
  <c r="BG59" i="12"/>
  <c r="BG75" i="12"/>
  <c r="BG84" i="12"/>
  <c r="BG135" i="12"/>
  <c r="BG61" i="12"/>
  <c r="BG86" i="12"/>
  <c r="BG120" i="12"/>
  <c r="BG133" i="12"/>
  <c r="BG63" i="12"/>
  <c r="BG81" i="12"/>
  <c r="BG85" i="12"/>
  <c r="BG89" i="12"/>
  <c r="BG103" i="12"/>
  <c r="BG132" i="12"/>
  <c r="BG136" i="12"/>
  <c r="BG150" i="12"/>
  <c r="BG72" i="12"/>
  <c r="BG78" i="12"/>
  <c r="BG131" i="12"/>
  <c r="BG139" i="12"/>
  <c r="BG149" i="12"/>
  <c r="BG32" i="12"/>
  <c r="BG80" i="12"/>
  <c r="BG100" i="12"/>
  <c r="BG129" i="12"/>
  <c r="BG137" i="12"/>
  <c r="BG151" i="12"/>
  <c r="AH68" i="12"/>
  <c r="AH91" i="12"/>
  <c r="AH93" i="12"/>
  <c r="AH96" i="12"/>
  <c r="AH104" i="12"/>
  <c r="AH115" i="12"/>
  <c r="AH117" i="12"/>
  <c r="AH122" i="12"/>
  <c r="AH92" i="12"/>
  <c r="AH116" i="12"/>
  <c r="AH146" i="12"/>
  <c r="AH95" i="12"/>
  <c r="AH121" i="12"/>
  <c r="AH67" i="12"/>
  <c r="E100" i="33"/>
  <c r="O205" i="29"/>
  <c r="O51" i="4" s="1"/>
  <c r="P6" i="28"/>
  <c r="O7" i="28"/>
  <c r="O7" i="27"/>
  <c r="P6" i="27"/>
  <c r="L9" i="28"/>
  <c r="M205" i="28"/>
  <c r="M40" i="4" s="1"/>
  <c r="J218" i="29"/>
  <c r="R5" i="33"/>
  <c r="P6" i="30"/>
  <c r="L11" i="29"/>
  <c r="N11" i="30"/>
  <c r="G34" i="27"/>
  <c r="G34" i="26"/>
  <c r="M213" i="26"/>
  <c r="K210" i="27"/>
  <c r="K46" i="27" s="1"/>
  <c r="K211" i="27"/>
  <c r="K209" i="27"/>
  <c r="K43" i="27" s="1"/>
  <c r="K216" i="27"/>
  <c r="K213" i="27"/>
  <c r="K214" i="27"/>
  <c r="K215" i="27"/>
  <c r="K217" i="27"/>
  <c r="K212" i="27"/>
  <c r="K209" i="28"/>
  <c r="K211" i="28"/>
  <c r="K217" i="28"/>
  <c r="K216" i="28"/>
  <c r="K210" i="28"/>
  <c r="K46" i="28" s="1"/>
  <c r="K214" i="28"/>
  <c r="K213" i="28"/>
  <c r="K212" i="28"/>
  <c r="K215" i="28"/>
  <c r="O203" i="26"/>
  <c r="P189" i="26"/>
  <c r="P17" i="4" s="1"/>
  <c r="P193" i="26"/>
  <c r="P190" i="32"/>
  <c r="L210" i="30"/>
  <c r="L46" i="30" s="1"/>
  <c r="L47" i="30" s="1"/>
  <c r="L216" i="30"/>
  <c r="L211" i="30"/>
  <c r="L48" i="30" s="1"/>
  <c r="L50" i="30" s="1"/>
  <c r="L217" i="30"/>
  <c r="L212" i="30"/>
  <c r="L213" i="30"/>
  <c r="L214" i="30"/>
  <c r="L215" i="30"/>
  <c r="L209" i="30"/>
  <c r="L42" i="30" s="1"/>
  <c r="L44" i="30" s="1"/>
  <c r="M5" i="30"/>
  <c r="P194" i="32"/>
  <c r="O195" i="26"/>
  <c r="K214" i="32"/>
  <c r="K216" i="32"/>
  <c r="K213" i="32"/>
  <c r="K212" i="32"/>
  <c r="K209" i="32"/>
  <c r="K211" i="32"/>
  <c r="K215" i="32"/>
  <c r="K210" i="32"/>
  <c r="K217" i="32"/>
  <c r="L5" i="32"/>
  <c r="K214" i="29"/>
  <c r="K210" i="29"/>
  <c r="K46" i="29" s="1"/>
  <c r="K215" i="29"/>
  <c r="K212" i="29"/>
  <c r="K216" i="29"/>
  <c r="K213" i="29"/>
  <c r="K211" i="29"/>
  <c r="K217" i="29"/>
  <c r="K209" i="29"/>
  <c r="L5" i="29"/>
  <c r="O189" i="32"/>
  <c r="O98" i="32" s="1"/>
  <c r="M217" i="26"/>
  <c r="AY169" i="12"/>
  <c r="AY171" i="12" s="1"/>
  <c r="AK171" i="12"/>
  <c r="L205" i="27"/>
  <c r="L29" i="4" s="1"/>
  <c r="BO168" i="12"/>
  <c r="F18" i="32"/>
  <c r="BO170" i="12"/>
  <c r="N9" i="29"/>
  <c r="O8" i="29"/>
  <c r="O10" i="29"/>
  <c r="P204" i="29"/>
  <c r="O6" i="29"/>
  <c r="N7" i="29"/>
  <c r="BN169" i="12"/>
  <c r="N29" i="21" s="1"/>
  <c r="CB169" i="12"/>
  <c r="O30" i="21" s="1"/>
  <c r="P4" i="30"/>
  <c r="N9" i="30"/>
  <c r="O8" i="30"/>
  <c r="P205" i="30"/>
  <c r="P62" i="4" s="1"/>
  <c r="K28" i="21"/>
  <c r="AX171" i="12"/>
  <c r="P195" i="28"/>
  <c r="P193" i="28"/>
  <c r="N10" i="28"/>
  <c r="M11" i="28"/>
  <c r="P191" i="28"/>
  <c r="O202" i="28"/>
  <c r="L5" i="28"/>
  <c r="J218" i="28"/>
  <c r="P8" i="28"/>
  <c r="P196" i="28"/>
  <c r="P192" i="28"/>
  <c r="N204" i="28"/>
  <c r="O203" i="28"/>
  <c r="O197" i="28"/>
  <c r="AZ170" i="12"/>
  <c r="P194" i="28"/>
  <c r="O196" i="27"/>
  <c r="O192" i="27"/>
  <c r="L5" i="27"/>
  <c r="AJ171" i="12"/>
  <c r="J171" i="12" s="1"/>
  <c r="J27" i="21"/>
  <c r="J24" i="21" s="1"/>
  <c r="P4" i="27"/>
  <c r="N8" i="27"/>
  <c r="M9" i="27"/>
  <c r="O195" i="27"/>
  <c r="N197" i="27"/>
  <c r="I36" i="21"/>
  <c r="O194" i="27"/>
  <c r="V171" i="33"/>
  <c r="I169" i="33"/>
  <c r="I171" i="33" s="1"/>
  <c r="M204" i="27"/>
  <c r="N202" i="27"/>
  <c r="AM170" i="12" s="1"/>
  <c r="O191" i="27"/>
  <c r="O193" i="27"/>
  <c r="N11" i="27"/>
  <c r="O10" i="27"/>
  <c r="O199" i="27"/>
  <c r="O200" i="27" s="1"/>
  <c r="AM168" i="12"/>
  <c r="L11" i="32"/>
  <c r="O194" i="26"/>
  <c r="K26" i="21"/>
  <c r="N9" i="26"/>
  <c r="O8" i="26"/>
  <c r="N197" i="26"/>
  <c r="N204" i="26" s="1"/>
  <c r="O202" i="26"/>
  <c r="AA170" i="12" s="1"/>
  <c r="P191" i="26"/>
  <c r="P190" i="26"/>
  <c r="O196" i="26"/>
  <c r="P6" i="26"/>
  <c r="O7" i="26"/>
  <c r="O4" i="26"/>
  <c r="X171" i="12"/>
  <c r="K168" i="33"/>
  <c r="Y171" i="12"/>
  <c r="Y168" i="33"/>
  <c r="P192" i="26"/>
  <c r="M11" i="26"/>
  <c r="N10" i="26"/>
  <c r="Z168" i="12"/>
  <c r="O199" i="26"/>
  <c r="O200" i="26" s="1"/>
  <c r="L9" i="32"/>
  <c r="O196" i="32"/>
  <c r="O197" i="32" s="1"/>
  <c r="P191" i="32"/>
  <c r="N7" i="32"/>
  <c r="O4" i="32"/>
  <c r="AK171" i="33"/>
  <c r="J8" i="4"/>
  <c r="J184" i="34" s="1"/>
  <c r="Q236" i="8"/>
  <c r="K12" i="4"/>
  <c r="W165" i="12" s="1"/>
  <c r="K6" i="4"/>
  <c r="Q235" i="8"/>
  <c r="M68" i="8"/>
  <c r="M75" i="8" s="1"/>
  <c r="Q71" i="8"/>
  <c r="Q160" i="8"/>
  <c r="Q203" i="8"/>
  <c r="L83" i="8"/>
  <c r="Q83" i="8" s="1"/>
  <c r="L85" i="8"/>
  <c r="Q85" i="8" s="1"/>
  <c r="L88" i="8"/>
  <c r="Q88" i="8" s="1"/>
  <c r="L109" i="8"/>
  <c r="L86" i="8"/>
  <c r="Q86" i="8" s="1"/>
  <c r="L84" i="8"/>
  <c r="Q84" i="8" s="1"/>
  <c r="J182" i="26"/>
  <c r="M202" i="8"/>
  <c r="M93" i="8"/>
  <c r="P93" i="8" s="1"/>
  <c r="M101" i="8"/>
  <c r="P101" i="8" s="1"/>
  <c r="M107" i="8"/>
  <c r="P107" i="8" s="1"/>
  <c r="M95" i="8"/>
  <c r="M97" i="8"/>
  <c r="M99" i="8"/>
  <c r="M102" i="8"/>
  <c r="M128" i="8"/>
  <c r="M94" i="8"/>
  <c r="P94" i="8" s="1"/>
  <c r="M96" i="8"/>
  <c r="M100" i="8"/>
  <c r="M103" i="8"/>
  <c r="M98" i="8"/>
  <c r="M201" i="8"/>
  <c r="N93" i="8"/>
  <c r="Q93" i="8" s="1"/>
  <c r="N107" i="8"/>
  <c r="Q107" i="8" s="1"/>
  <c r="N96" i="8"/>
  <c r="N98" i="8"/>
  <c r="N100" i="8"/>
  <c r="N103" i="8"/>
  <c r="N94" i="8"/>
  <c r="Q94" i="8" s="1"/>
  <c r="N101" i="8"/>
  <c r="Q101" i="8" s="1"/>
  <c r="N95" i="8"/>
  <c r="N97" i="8"/>
  <c r="N99" i="8"/>
  <c r="N102" i="8"/>
  <c r="L160" i="8"/>
  <c r="L71" i="8"/>
  <c r="L203" i="8"/>
  <c r="I17" i="26"/>
  <c r="I23" i="26" s="1"/>
  <c r="I83" i="26" s="1"/>
  <c r="J182" i="27"/>
  <c r="I181" i="32"/>
  <c r="J182" i="28"/>
  <c r="J113" i="28" s="1"/>
  <c r="I20" i="26"/>
  <c r="I19" i="26"/>
  <c r="I20" i="28"/>
  <c r="I17" i="28"/>
  <c r="I19" i="28"/>
  <c r="I35" i="21"/>
  <c r="AJ164" i="12"/>
  <c r="K180" i="27"/>
  <c r="L22" i="4"/>
  <c r="L23" i="4" s="1"/>
  <c r="AK166" i="12"/>
  <c r="K18" i="21" s="1"/>
  <c r="I180" i="32"/>
  <c r="U164" i="33"/>
  <c r="H164" i="33" s="1"/>
  <c r="L290" i="15"/>
  <c r="L418" i="15" s="1"/>
  <c r="L279" i="15"/>
  <c r="L407" i="15" s="1"/>
  <c r="L171" i="15"/>
  <c r="L283" i="15"/>
  <c r="L411" i="15" s="1"/>
  <c r="L292" i="15"/>
  <c r="L420" i="15" s="1"/>
  <c r="L275" i="15"/>
  <c r="L403" i="15" s="1"/>
  <c r="K185" i="32"/>
  <c r="K95" i="32" s="1"/>
  <c r="AJ76" i="33" s="1"/>
  <c r="I17" i="27"/>
  <c r="I20" i="27"/>
  <c r="I19" i="27"/>
  <c r="BY165" i="12"/>
  <c r="M181" i="30"/>
  <c r="BZ166" i="12"/>
  <c r="M21" i="21" s="1"/>
  <c r="M39" i="21" s="1"/>
  <c r="L181" i="29"/>
  <c r="M168" i="15"/>
  <c r="BK165" i="12"/>
  <c r="BL166" i="12"/>
  <c r="L20" i="21" s="1"/>
  <c r="J37" i="21"/>
  <c r="AW165" i="12"/>
  <c r="K181" i="28"/>
  <c r="G17" i="32"/>
  <c r="G19" i="32"/>
  <c r="G20" i="32"/>
  <c r="T12" i="12"/>
  <c r="H26" i="26"/>
  <c r="T8" i="12" s="1"/>
  <c r="T9" i="12"/>
  <c r="T7" i="12"/>
  <c r="H18" i="26"/>
  <c r="G218" i="32"/>
  <c r="I33" i="21"/>
  <c r="K218" i="26"/>
  <c r="K23" i="4"/>
  <c r="K182" i="29"/>
  <c r="K113" i="29" s="1"/>
  <c r="L284" i="15"/>
  <c r="L412" i="15" s="1"/>
  <c r="L276" i="15"/>
  <c r="L404" i="15" s="1"/>
  <c r="L280" i="15"/>
  <c r="L408" i="15" s="1"/>
  <c r="J17" i="21"/>
  <c r="L11" i="4"/>
  <c r="X166" i="12"/>
  <c r="W164" i="12"/>
  <c r="K180" i="26"/>
  <c r="AG7" i="12"/>
  <c r="AG9" i="12"/>
  <c r="AG5" i="12"/>
  <c r="H18" i="27"/>
  <c r="AG12" i="12"/>
  <c r="AG8" i="12"/>
  <c r="H181" i="32"/>
  <c r="H182" i="32" s="1"/>
  <c r="H113" i="32" s="1"/>
  <c r="AG93" i="33" s="1"/>
  <c r="T165" i="33"/>
  <c r="BY164" i="12"/>
  <c r="M180" i="30"/>
  <c r="K38" i="21"/>
  <c r="BK164" i="12"/>
  <c r="L180" i="29"/>
  <c r="M167" i="15"/>
  <c r="L33" i="4"/>
  <c r="AX166" i="12"/>
  <c r="K19" i="21" s="1"/>
  <c r="AW164" i="12"/>
  <c r="K180" i="28"/>
  <c r="F165" i="33"/>
  <c r="F166" i="33" s="1"/>
  <c r="S166" i="33"/>
  <c r="L96" i="30" l="1"/>
  <c r="I26" i="28"/>
  <c r="I29" i="28" s="1"/>
  <c r="I23" i="28"/>
  <c r="J136" i="27"/>
  <c r="J45" i="27"/>
  <c r="J47" i="27" s="1"/>
  <c r="J42" i="27"/>
  <c r="J44" i="27" s="1"/>
  <c r="J48" i="27"/>
  <c r="J50" i="27" s="1"/>
  <c r="J137" i="27"/>
  <c r="AI117" i="12" s="1"/>
  <c r="J113" i="27"/>
  <c r="I26" i="27"/>
  <c r="AH8" i="12" s="1"/>
  <c r="I23" i="27"/>
  <c r="I83" i="27" s="1"/>
  <c r="U34" i="12"/>
  <c r="J48" i="26"/>
  <c r="J50" i="26" s="1"/>
  <c r="J45" i="26"/>
  <c r="J47" i="26" s="1"/>
  <c r="J42" i="26"/>
  <c r="J44" i="26" s="1"/>
  <c r="J113" i="26"/>
  <c r="V93" i="12" s="1"/>
  <c r="E26" i="33"/>
  <c r="AD62" i="33"/>
  <c r="E176" i="32"/>
  <c r="AD156" i="33" s="1"/>
  <c r="D70" i="21" s="1"/>
  <c r="F6" i="12"/>
  <c r="G23" i="32" s="1"/>
  <c r="AJ63" i="33"/>
  <c r="L125" i="32"/>
  <c r="L28" i="32" s="1"/>
  <c r="G93" i="33"/>
  <c r="K46" i="32"/>
  <c r="AJ27" i="33" s="1"/>
  <c r="K49" i="32"/>
  <c r="AJ30" i="33" s="1"/>
  <c r="AD6" i="33"/>
  <c r="D6" i="33" s="1"/>
  <c r="E39" i="32"/>
  <c r="AD21" i="33" s="1"/>
  <c r="H42" i="32"/>
  <c r="H45" i="32"/>
  <c r="H48" i="32"/>
  <c r="G50" i="32"/>
  <c r="AF29" i="33"/>
  <c r="G66" i="32"/>
  <c r="G47" i="32"/>
  <c r="AF26" i="33"/>
  <c r="G63" i="32"/>
  <c r="G44" i="32"/>
  <c r="AF23" i="33"/>
  <c r="G60" i="32"/>
  <c r="AE25" i="33"/>
  <c r="F72" i="32"/>
  <c r="AE53" i="33" s="1"/>
  <c r="F69" i="32"/>
  <c r="AE50" i="33" s="1"/>
  <c r="F75" i="32"/>
  <c r="AE56" i="33" s="1"/>
  <c r="F56" i="32"/>
  <c r="AE37" i="33" s="1"/>
  <c r="AE44" i="33"/>
  <c r="F65" i="32"/>
  <c r="AE46" i="33" s="1"/>
  <c r="AE28" i="33"/>
  <c r="F57" i="32"/>
  <c r="AE38" i="33" s="1"/>
  <c r="F76" i="32"/>
  <c r="AE57" i="33" s="1"/>
  <c r="F70" i="32"/>
  <c r="AE51" i="33" s="1"/>
  <c r="F73" i="32"/>
  <c r="AE54" i="33" s="1"/>
  <c r="AE47" i="33"/>
  <c r="F68" i="32"/>
  <c r="AE41" i="33"/>
  <c r="F62" i="32"/>
  <c r="AE43" i="33" s="1"/>
  <c r="AE31" i="33"/>
  <c r="F55" i="32"/>
  <c r="AE36" i="33" s="1"/>
  <c r="F77" i="32"/>
  <c r="AE58" i="33" s="1"/>
  <c r="F71" i="32"/>
  <c r="AE52" i="33" s="1"/>
  <c r="F74" i="32"/>
  <c r="AE55" i="33" s="1"/>
  <c r="F58" i="32"/>
  <c r="AE39" i="33" s="1"/>
  <c r="E7" i="33"/>
  <c r="J45" i="28"/>
  <c r="J47" i="28" s="1"/>
  <c r="J137" i="28"/>
  <c r="AV117" i="12" s="1"/>
  <c r="J42" i="28"/>
  <c r="J44" i="28" s="1"/>
  <c r="J48" i="28"/>
  <c r="J50" i="28" s="1"/>
  <c r="J136" i="28"/>
  <c r="AV116" i="12" s="1"/>
  <c r="D16" i="33"/>
  <c r="L24" i="34"/>
  <c r="CK6" i="12" s="1"/>
  <c r="L83" i="34"/>
  <c r="F5" i="12"/>
  <c r="S5" i="33" s="1"/>
  <c r="H84" i="27"/>
  <c r="AG65" i="12" s="1"/>
  <c r="H24" i="27"/>
  <c r="AG6" i="12" s="1"/>
  <c r="H84" i="26"/>
  <c r="T65" i="12" s="1"/>
  <c r="H24" i="26"/>
  <c r="T6" i="12" s="1"/>
  <c r="K42" i="29"/>
  <c r="K44" i="29" s="1"/>
  <c r="K45" i="29"/>
  <c r="K47" i="29" s="1"/>
  <c r="K48" i="29"/>
  <c r="K50" i="29" s="1"/>
  <c r="I138" i="26"/>
  <c r="U118" i="12" s="1"/>
  <c r="H55" i="26"/>
  <c r="J137" i="26"/>
  <c r="J136" i="26"/>
  <c r="V116" i="12" s="1"/>
  <c r="K137" i="29"/>
  <c r="K136" i="29"/>
  <c r="I108" i="28"/>
  <c r="I101" i="26"/>
  <c r="M40" i="21"/>
  <c r="J169" i="33"/>
  <c r="J171" i="33" s="1"/>
  <c r="L51" i="30"/>
  <c r="L55" i="30" s="1"/>
  <c r="BX67" i="12"/>
  <c r="K85" i="29"/>
  <c r="I118" i="28"/>
  <c r="I101" i="28"/>
  <c r="J82" i="28"/>
  <c r="I160" i="28"/>
  <c r="U115" i="12"/>
  <c r="H115" i="12" s="1"/>
  <c r="U115" i="33" s="1"/>
  <c r="I126" i="26"/>
  <c r="I108" i="26"/>
  <c r="J125" i="26"/>
  <c r="J28" i="26" s="1"/>
  <c r="I118" i="26"/>
  <c r="U98" i="12" s="1"/>
  <c r="H96" i="26"/>
  <c r="G25" i="32"/>
  <c r="AF7" i="33" s="1"/>
  <c r="F7" i="33" s="1"/>
  <c r="G30" i="32"/>
  <c r="G27" i="32"/>
  <c r="AF9" i="33" s="1"/>
  <c r="F9" i="33" s="1"/>
  <c r="AE12" i="33"/>
  <c r="E12" i="33" s="1"/>
  <c r="F34" i="32"/>
  <c r="AE16" i="33" s="1"/>
  <c r="E16" i="33" s="1"/>
  <c r="M168" i="12"/>
  <c r="Z168" i="33" s="1"/>
  <c r="H55" i="27"/>
  <c r="M53" i="15"/>
  <c r="M146" i="15" s="1"/>
  <c r="M145" i="15"/>
  <c r="M8" i="11"/>
  <c r="N23" i="15"/>
  <c r="N25" i="15" s="1"/>
  <c r="L84" i="34"/>
  <c r="CK65" i="12" s="1"/>
  <c r="CK5" i="12"/>
  <c r="L146" i="15"/>
  <c r="L152" i="15"/>
  <c r="N19" i="11"/>
  <c r="O29" i="15"/>
  <c r="O29" i="14"/>
  <c r="O29" i="8"/>
  <c r="T5" i="12"/>
  <c r="G5" i="12" s="1"/>
  <c r="I114" i="27"/>
  <c r="I138" i="27"/>
  <c r="G76" i="12"/>
  <c r="T76" i="33" s="1"/>
  <c r="G76" i="33" s="1"/>
  <c r="G128" i="12"/>
  <c r="T128" i="33" s="1"/>
  <c r="I96" i="28"/>
  <c r="J103" i="26"/>
  <c r="J112" i="26"/>
  <c r="V92" i="12" s="1"/>
  <c r="J110" i="26"/>
  <c r="J82" i="26"/>
  <c r="J111" i="26"/>
  <c r="J170" i="26"/>
  <c r="J116" i="26"/>
  <c r="J165" i="26"/>
  <c r="V145" i="12" s="1"/>
  <c r="J168" i="26"/>
  <c r="J171" i="26"/>
  <c r="J117" i="26"/>
  <c r="V97" i="12" s="1"/>
  <c r="J166" i="26"/>
  <c r="V146" i="12" s="1"/>
  <c r="J169" i="26"/>
  <c r="J167" i="26"/>
  <c r="V147" i="12" s="1"/>
  <c r="J151" i="26"/>
  <c r="J154" i="26"/>
  <c r="J172" i="26"/>
  <c r="J115" i="26"/>
  <c r="J161" i="26"/>
  <c r="J164" i="26" s="1"/>
  <c r="J152" i="26"/>
  <c r="J156" i="26"/>
  <c r="J159" i="26"/>
  <c r="J153" i="26"/>
  <c r="J157" i="26"/>
  <c r="J150" i="26"/>
  <c r="J149" i="26"/>
  <c r="J155" i="26"/>
  <c r="J135" i="26"/>
  <c r="V115" i="12" s="1"/>
  <c r="J141" i="26"/>
  <c r="J158" i="26"/>
  <c r="J144" i="26"/>
  <c r="J142" i="26"/>
  <c r="J146" i="26"/>
  <c r="J134" i="26"/>
  <c r="J143" i="26"/>
  <c r="V123" i="12" s="1"/>
  <c r="J147" i="26"/>
  <c r="V127" i="12" s="1"/>
  <c r="J128" i="26"/>
  <c r="J131" i="26"/>
  <c r="J129" i="26"/>
  <c r="J132" i="26"/>
  <c r="J127" i="26"/>
  <c r="J130" i="26"/>
  <c r="J123" i="26"/>
  <c r="J120" i="26"/>
  <c r="J124" i="26"/>
  <c r="J121" i="26"/>
  <c r="J122" i="26"/>
  <c r="J119" i="26"/>
  <c r="J98" i="26"/>
  <c r="J90" i="26"/>
  <c r="V71" i="12" s="1"/>
  <c r="J91" i="26"/>
  <c r="J94" i="26"/>
  <c r="J93" i="26"/>
  <c r="J102" i="26"/>
  <c r="J86" i="26"/>
  <c r="J97" i="26"/>
  <c r="J106" i="26"/>
  <c r="J89" i="26"/>
  <c r="J52" i="26"/>
  <c r="J99" i="26"/>
  <c r="J104" i="26"/>
  <c r="J109" i="26"/>
  <c r="J87" i="26"/>
  <c r="J107" i="26"/>
  <c r="J53" i="26"/>
  <c r="J85" i="26"/>
  <c r="J105" i="26"/>
  <c r="J88" i="26"/>
  <c r="V69" i="12" s="1"/>
  <c r="J54" i="26"/>
  <c r="J100" i="26"/>
  <c r="J79" i="26"/>
  <c r="J78" i="26"/>
  <c r="J80" i="26"/>
  <c r="J139" i="26"/>
  <c r="J140" i="26"/>
  <c r="J51" i="26"/>
  <c r="AH90" i="12"/>
  <c r="H90" i="12" s="1"/>
  <c r="U90" i="33" s="1"/>
  <c r="AU95" i="12"/>
  <c r="H95" i="12" s="1"/>
  <c r="U95" i="33" s="1"/>
  <c r="H95" i="33" s="1"/>
  <c r="I126" i="27"/>
  <c r="I133" i="27"/>
  <c r="I173" i="27"/>
  <c r="I133" i="28"/>
  <c r="I148" i="28"/>
  <c r="AU128" i="12" s="1"/>
  <c r="I114" i="28"/>
  <c r="AU94" i="12" s="1"/>
  <c r="I55" i="26"/>
  <c r="I173" i="26"/>
  <c r="M170" i="12"/>
  <c r="Z170" i="33" s="1"/>
  <c r="M170" i="33" s="1"/>
  <c r="U76" i="12"/>
  <c r="I108" i="27"/>
  <c r="I148" i="27"/>
  <c r="AH128" i="12" s="1"/>
  <c r="I118" i="27"/>
  <c r="AH98" i="12" s="1"/>
  <c r="I173" i="28"/>
  <c r="I133" i="26"/>
  <c r="I114" i="26"/>
  <c r="U94" i="12" s="1"/>
  <c r="J103" i="28"/>
  <c r="J112" i="28"/>
  <c r="J110" i="28"/>
  <c r="J141" i="28"/>
  <c r="AV121" i="12" s="1"/>
  <c r="J111" i="28"/>
  <c r="AV91" i="12" s="1"/>
  <c r="J117" i="28"/>
  <c r="J171" i="28"/>
  <c r="J166" i="28"/>
  <c r="AV146" i="12" s="1"/>
  <c r="J169" i="28"/>
  <c r="J172" i="28"/>
  <c r="J115" i="28"/>
  <c r="J167" i="28"/>
  <c r="AV147" i="12" s="1"/>
  <c r="J116" i="28"/>
  <c r="AV96" i="12" s="1"/>
  <c r="J170" i="28"/>
  <c r="J168" i="28"/>
  <c r="J156" i="28"/>
  <c r="J161" i="28"/>
  <c r="J164" i="28" s="1"/>
  <c r="J151" i="28"/>
  <c r="J159" i="28"/>
  <c r="J154" i="28"/>
  <c r="J149" i="28"/>
  <c r="J157" i="28"/>
  <c r="J152" i="28"/>
  <c r="J155" i="28"/>
  <c r="J150" i="28"/>
  <c r="J158" i="28"/>
  <c r="J165" i="28"/>
  <c r="AV145" i="12" s="1"/>
  <c r="J143" i="28"/>
  <c r="AV123" i="12" s="1"/>
  <c r="J134" i="28"/>
  <c r="J144" i="28"/>
  <c r="J146" i="28"/>
  <c r="J153" i="28"/>
  <c r="J135" i="28"/>
  <c r="AV115" i="12" s="1"/>
  <c r="J147" i="28"/>
  <c r="J128" i="28"/>
  <c r="J131" i="28"/>
  <c r="J129" i="28"/>
  <c r="J132" i="28"/>
  <c r="J127" i="28"/>
  <c r="J142" i="28"/>
  <c r="AV122" i="12" s="1"/>
  <c r="J130" i="28"/>
  <c r="J124" i="28"/>
  <c r="J94" i="28"/>
  <c r="J97" i="28"/>
  <c r="J122" i="28"/>
  <c r="J121" i="28"/>
  <c r="J125" i="28"/>
  <c r="J28" i="28" s="1"/>
  <c r="J119" i="28"/>
  <c r="AV99" i="12" s="1"/>
  <c r="J90" i="28"/>
  <c r="AV71" i="12" s="1"/>
  <c r="J123" i="28"/>
  <c r="J105" i="28"/>
  <c r="J120" i="28"/>
  <c r="J93" i="28"/>
  <c r="J98" i="28"/>
  <c r="J102" i="28"/>
  <c r="J106" i="28"/>
  <c r="AV93" i="12"/>
  <c r="J91" i="28"/>
  <c r="J99" i="28"/>
  <c r="J104" i="28"/>
  <c r="J109" i="28"/>
  <c r="J89" i="28"/>
  <c r="J87" i="28"/>
  <c r="AV68" i="12" s="1"/>
  <c r="J53" i="28"/>
  <c r="J85" i="28"/>
  <c r="J88" i="28"/>
  <c r="AV69" i="12" s="1"/>
  <c r="J54" i="28"/>
  <c r="J107" i="28"/>
  <c r="J52" i="28"/>
  <c r="J86" i="28"/>
  <c r="AV67" i="12" s="1"/>
  <c r="J78" i="28"/>
  <c r="J100" i="28"/>
  <c r="J79" i="28"/>
  <c r="J80" i="28"/>
  <c r="J139" i="28"/>
  <c r="J140" i="28"/>
  <c r="I96" i="27"/>
  <c r="I126" i="28"/>
  <c r="I148" i="26"/>
  <c r="U128" i="12" s="1"/>
  <c r="K103" i="29"/>
  <c r="K112" i="29"/>
  <c r="BJ92" i="12" s="1"/>
  <c r="K110" i="29"/>
  <c r="BJ90" i="12" s="1"/>
  <c r="K111" i="29"/>
  <c r="BJ91" i="12" s="1"/>
  <c r="K82" i="29"/>
  <c r="K172" i="29"/>
  <c r="K167" i="29"/>
  <c r="BJ147" i="12" s="1"/>
  <c r="K170" i="29"/>
  <c r="K165" i="29"/>
  <c r="BJ145" i="12" s="1"/>
  <c r="K115" i="29"/>
  <c r="BJ95" i="12" s="1"/>
  <c r="K168" i="29"/>
  <c r="K116" i="29"/>
  <c r="BJ96" i="12" s="1"/>
  <c r="K171" i="29"/>
  <c r="K169" i="29"/>
  <c r="K152" i="29"/>
  <c r="K155" i="29"/>
  <c r="K166" i="29"/>
  <c r="K150" i="29"/>
  <c r="K158" i="29"/>
  <c r="K117" i="29"/>
  <c r="BJ97" i="12" s="1"/>
  <c r="K153" i="29"/>
  <c r="K156" i="29"/>
  <c r="K151" i="29"/>
  <c r="K159" i="29"/>
  <c r="K154" i="29"/>
  <c r="K135" i="29"/>
  <c r="BJ115" i="12" s="1"/>
  <c r="K149" i="29"/>
  <c r="K140" i="29"/>
  <c r="K143" i="29"/>
  <c r="BJ123" i="12" s="1"/>
  <c r="K157" i="29"/>
  <c r="K141" i="29"/>
  <c r="BJ121" i="12" s="1"/>
  <c r="K134" i="29"/>
  <c r="K142" i="29"/>
  <c r="BJ122" i="12" s="1"/>
  <c r="K127" i="29"/>
  <c r="K130" i="29"/>
  <c r="K144" i="29"/>
  <c r="BJ124" i="12" s="1"/>
  <c r="K146" i="29"/>
  <c r="BJ126" i="12" s="1"/>
  <c r="K128" i="29"/>
  <c r="K131" i="29"/>
  <c r="K139" i="29"/>
  <c r="K147" i="29"/>
  <c r="K129" i="29"/>
  <c r="K132" i="29"/>
  <c r="K125" i="29"/>
  <c r="K28" i="29" s="1"/>
  <c r="K121" i="29"/>
  <c r="BJ101" i="12" s="1"/>
  <c r="K123" i="29"/>
  <c r="K119" i="29"/>
  <c r="BJ99" i="12" s="1"/>
  <c r="K124" i="29"/>
  <c r="BJ104" i="12" s="1"/>
  <c r="K120" i="29"/>
  <c r="K98" i="29"/>
  <c r="K105" i="29"/>
  <c r="K90" i="29"/>
  <c r="BJ71" i="12" s="1"/>
  <c r="K102" i="29"/>
  <c r="K122" i="29"/>
  <c r="K93" i="29"/>
  <c r="K99" i="29"/>
  <c r="K106" i="29"/>
  <c r="BJ93" i="12"/>
  <c r="K91" i="29"/>
  <c r="K109" i="29"/>
  <c r="K97" i="29"/>
  <c r="K104" i="29"/>
  <c r="K94" i="29"/>
  <c r="K100" i="29"/>
  <c r="K107" i="29"/>
  <c r="K52" i="29"/>
  <c r="K88" i="29"/>
  <c r="BJ69" i="12" s="1"/>
  <c r="K80" i="29"/>
  <c r="K86" i="29"/>
  <c r="BJ67" i="12" s="1"/>
  <c r="K53" i="29"/>
  <c r="K78" i="29"/>
  <c r="K89" i="29"/>
  <c r="BJ70" i="12" s="1"/>
  <c r="K51" i="29"/>
  <c r="K87" i="29"/>
  <c r="BJ68" i="12" s="1"/>
  <c r="K54" i="29"/>
  <c r="K79" i="29"/>
  <c r="F23" i="12"/>
  <c r="S23" i="33" s="1"/>
  <c r="I160" i="27"/>
  <c r="I92" i="28"/>
  <c r="I96" i="26"/>
  <c r="I145" i="26"/>
  <c r="U125" i="12" s="1"/>
  <c r="I83" i="28"/>
  <c r="AH9" i="12"/>
  <c r="J82" i="27"/>
  <c r="J111" i="27"/>
  <c r="AI91" i="12" s="1"/>
  <c r="J103" i="27"/>
  <c r="J112" i="27"/>
  <c r="J110" i="27"/>
  <c r="J172" i="27"/>
  <c r="J115" i="27"/>
  <c r="AI95" i="12" s="1"/>
  <c r="J167" i="27"/>
  <c r="AI147" i="12" s="1"/>
  <c r="J170" i="27"/>
  <c r="J165" i="27"/>
  <c r="J116" i="27"/>
  <c r="AI96" i="12" s="1"/>
  <c r="J168" i="27"/>
  <c r="J171" i="27"/>
  <c r="J117" i="27"/>
  <c r="AI97" i="12" s="1"/>
  <c r="J169" i="27"/>
  <c r="J166" i="27"/>
  <c r="AI146" i="12" s="1"/>
  <c r="J161" i="27"/>
  <c r="J164" i="27" s="1"/>
  <c r="J154" i="27"/>
  <c r="J149" i="27"/>
  <c r="J157" i="27"/>
  <c r="J152" i="27"/>
  <c r="J155" i="27"/>
  <c r="J150" i="27"/>
  <c r="J158" i="27"/>
  <c r="J153" i="27"/>
  <c r="J156" i="27"/>
  <c r="J159" i="27"/>
  <c r="J134" i="27"/>
  <c r="J142" i="27"/>
  <c r="J147" i="27"/>
  <c r="J140" i="27"/>
  <c r="J135" i="27"/>
  <c r="J143" i="27"/>
  <c r="J151" i="27"/>
  <c r="J141" i="27"/>
  <c r="AI121" i="12" s="1"/>
  <c r="J146" i="27"/>
  <c r="J139" i="27"/>
  <c r="J144" i="27"/>
  <c r="J129" i="27"/>
  <c r="J132" i="27"/>
  <c r="J127" i="27"/>
  <c r="J130" i="27"/>
  <c r="J128" i="27"/>
  <c r="J131" i="27"/>
  <c r="J91" i="27"/>
  <c r="J102" i="27"/>
  <c r="J123" i="27"/>
  <c r="J93" i="27"/>
  <c r="J99" i="27"/>
  <c r="J106" i="27"/>
  <c r="J120" i="27"/>
  <c r="J109" i="27"/>
  <c r="J97" i="27"/>
  <c r="J104" i="27"/>
  <c r="J124" i="27"/>
  <c r="AI104" i="12" s="1"/>
  <c r="J94" i="27"/>
  <c r="J100" i="27"/>
  <c r="J107" i="27"/>
  <c r="J121" i="27"/>
  <c r="J90" i="27"/>
  <c r="AI71" i="12" s="1"/>
  <c r="J122" i="27"/>
  <c r="J98" i="27"/>
  <c r="J105" i="27"/>
  <c r="J125" i="27"/>
  <c r="J28" i="27" s="1"/>
  <c r="J119" i="27"/>
  <c r="J87" i="27"/>
  <c r="AI68" i="12" s="1"/>
  <c r="J54" i="27"/>
  <c r="J79" i="27"/>
  <c r="J80" i="27"/>
  <c r="J85" i="27"/>
  <c r="J52" i="27"/>
  <c r="J88" i="27"/>
  <c r="J78" i="27"/>
  <c r="J86" i="27"/>
  <c r="AI67" i="12" s="1"/>
  <c r="J53" i="27"/>
  <c r="J89" i="27"/>
  <c r="J51" i="27"/>
  <c r="I145" i="27"/>
  <c r="I92" i="26"/>
  <c r="I160" i="26"/>
  <c r="J51" i="28"/>
  <c r="H111" i="32"/>
  <c r="H112" i="32"/>
  <c r="H110" i="32"/>
  <c r="U12" i="12"/>
  <c r="AU117" i="12"/>
  <c r="H117" i="12" s="1"/>
  <c r="U117" i="33" s="1"/>
  <c r="AH76" i="12"/>
  <c r="I92" i="27"/>
  <c r="I101" i="27"/>
  <c r="I145" i="28"/>
  <c r="AU125" i="12" s="1"/>
  <c r="BE49" i="12"/>
  <c r="F81" i="29"/>
  <c r="BE62" i="12" s="1"/>
  <c r="BQ49" i="12"/>
  <c r="E81" i="30"/>
  <c r="BR49" i="12"/>
  <c r="F81" i="30"/>
  <c r="CE49" i="12"/>
  <c r="F81" i="34"/>
  <c r="CE62" i="12" s="1"/>
  <c r="CF49" i="12"/>
  <c r="G81" i="34"/>
  <c r="CF62" i="12" s="1"/>
  <c r="R37" i="12"/>
  <c r="O168" i="12"/>
  <c r="AB168" i="33" s="1"/>
  <c r="O168" i="33" s="1"/>
  <c r="F29" i="32"/>
  <c r="F24" i="32"/>
  <c r="AE6" i="33" s="1"/>
  <c r="AE5" i="33"/>
  <c r="E5" i="33" s="1"/>
  <c r="F84" i="32"/>
  <c r="AE65" i="33" s="1"/>
  <c r="E65" i="33" s="1"/>
  <c r="D31" i="12"/>
  <c r="Q31" i="33" s="1"/>
  <c r="D31" i="33" s="1"/>
  <c r="AI106" i="33"/>
  <c r="AI10" i="33"/>
  <c r="N18" i="11"/>
  <c r="CM9" i="12"/>
  <c r="CM8" i="12"/>
  <c r="O28" i="14"/>
  <c r="O28" i="15"/>
  <c r="O28" i="8"/>
  <c r="F65" i="12"/>
  <c r="O67" i="15"/>
  <c r="D25" i="12"/>
  <c r="Q25" i="33" s="1"/>
  <c r="D25" i="33" s="1"/>
  <c r="D58" i="12"/>
  <c r="E44" i="12"/>
  <c r="R44" i="33" s="1"/>
  <c r="G8" i="12"/>
  <c r="T8" i="33" s="1"/>
  <c r="H91" i="12"/>
  <c r="U91" i="33" s="1"/>
  <c r="G7" i="12"/>
  <c r="T7" i="33" s="1"/>
  <c r="H67" i="12"/>
  <c r="U67" i="33" s="1"/>
  <c r="G98" i="12"/>
  <c r="K166" i="12"/>
  <c r="G9" i="12"/>
  <c r="T9" i="33" s="1"/>
  <c r="H97" i="12"/>
  <c r="U97" i="33" s="1"/>
  <c r="H97" i="33" s="1"/>
  <c r="H70" i="12"/>
  <c r="U70" i="33" s="1"/>
  <c r="H70" i="33" s="1"/>
  <c r="G125" i="12"/>
  <c r="T125" i="33" s="1"/>
  <c r="E27" i="12"/>
  <c r="R27" i="33" s="1"/>
  <c r="E27" i="33" s="1"/>
  <c r="H92" i="12"/>
  <c r="U92" i="33" s="1"/>
  <c r="H147" i="12"/>
  <c r="U147" i="33" s="1"/>
  <c r="H147" i="33" s="1"/>
  <c r="BS36" i="12"/>
  <c r="H122" i="12"/>
  <c r="U122" i="33" s="1"/>
  <c r="H124" i="12"/>
  <c r="U124" i="33" s="1"/>
  <c r="G81" i="12"/>
  <c r="T81" i="33" s="1"/>
  <c r="G81" i="33" s="1"/>
  <c r="F77" i="12"/>
  <c r="D28" i="12"/>
  <c r="Q28" i="33" s="1"/>
  <c r="D28" i="33" s="1"/>
  <c r="F74" i="12"/>
  <c r="S74" i="33" s="1"/>
  <c r="F74" i="33" s="1"/>
  <c r="M212" i="26"/>
  <c r="M215" i="26"/>
  <c r="M210" i="26"/>
  <c r="M46" i="26" s="1"/>
  <c r="M214" i="26"/>
  <c r="M209" i="26"/>
  <c r="M211" i="26"/>
  <c r="N5" i="26"/>
  <c r="N214" i="26" s="1"/>
  <c r="CH10" i="12"/>
  <c r="BS107" i="12"/>
  <c r="BS44" i="12"/>
  <c r="F44" i="12" s="1"/>
  <c r="S44" i="33" s="1"/>
  <c r="G65" i="30"/>
  <c r="BS46" i="12" s="1"/>
  <c r="BT23" i="12"/>
  <c r="H60" i="30"/>
  <c r="BS31" i="12"/>
  <c r="G71" i="30"/>
  <c r="BS52" i="12" s="1"/>
  <c r="G77" i="30"/>
  <c r="BS58" i="12" s="1"/>
  <c r="G58" i="30"/>
  <c r="BS39" i="12" s="1"/>
  <c r="G74" i="30"/>
  <c r="BS55" i="12" s="1"/>
  <c r="BR37" i="12"/>
  <c r="BT86" i="12"/>
  <c r="G86" i="12" s="1"/>
  <c r="T86" i="33" s="1"/>
  <c r="G86" i="33" s="1"/>
  <c r="BT88" i="12"/>
  <c r="BS25" i="12"/>
  <c r="F25" i="12" s="1"/>
  <c r="S25" i="33" s="1"/>
  <c r="G69" i="30"/>
  <c r="BS50" i="12" s="1"/>
  <c r="G56" i="30"/>
  <c r="G72" i="30"/>
  <c r="BS53" i="12" s="1"/>
  <c r="G75" i="30"/>
  <c r="BS56" i="12" s="1"/>
  <c r="G68" i="30"/>
  <c r="BS47" i="12"/>
  <c r="BT24" i="12"/>
  <c r="H61" i="30"/>
  <c r="BT42" i="12" s="1"/>
  <c r="BT66" i="12"/>
  <c r="BT73" i="12"/>
  <c r="BT27" i="12"/>
  <c r="H64" i="30"/>
  <c r="BT45" i="12" s="1"/>
  <c r="BS41" i="12"/>
  <c r="G62" i="30"/>
  <c r="BS43" i="12" s="1"/>
  <c r="BT74" i="12"/>
  <c r="BT77" i="12"/>
  <c r="H67" i="30"/>
  <c r="BT48" i="12" s="1"/>
  <c r="BT30" i="12"/>
  <c r="BT148" i="12"/>
  <c r="G148" i="12" s="1"/>
  <c r="T148" i="33" s="1"/>
  <c r="G148" i="33" s="1"/>
  <c r="BT153" i="12"/>
  <c r="F26" i="12"/>
  <c r="S26" i="33" s="1"/>
  <c r="BT102" i="12"/>
  <c r="BT78" i="12"/>
  <c r="G78" i="12" s="1"/>
  <c r="T78" i="33" s="1"/>
  <c r="G78" i="33" s="1"/>
  <c r="BT82" i="12"/>
  <c r="BT26" i="12"/>
  <c r="H63" i="30"/>
  <c r="BQ37" i="12"/>
  <c r="BS106" i="12"/>
  <c r="BQ10" i="12"/>
  <c r="CF112" i="12"/>
  <c r="BS112" i="12"/>
  <c r="BR10" i="12"/>
  <c r="BT29" i="12"/>
  <c r="H66" i="30"/>
  <c r="CF110" i="12"/>
  <c r="BS110" i="12"/>
  <c r="E50" i="12"/>
  <c r="R50" i="33" s="1"/>
  <c r="BT141" i="12"/>
  <c r="BT144" i="12"/>
  <c r="CF109" i="12"/>
  <c r="BS109" i="12"/>
  <c r="CF108" i="12"/>
  <c r="BS108" i="12"/>
  <c r="G70" i="30"/>
  <c r="BS51" i="12" s="1"/>
  <c r="G76" i="30"/>
  <c r="BS57" i="12" s="1"/>
  <c r="G57" i="30"/>
  <c r="BS38" i="12" s="1"/>
  <c r="G73" i="30"/>
  <c r="BS54" i="12" s="1"/>
  <c r="BS28" i="12"/>
  <c r="BT32" i="12"/>
  <c r="H59" i="30"/>
  <c r="BT40" i="12" s="1"/>
  <c r="BT129" i="12"/>
  <c r="G129" i="12" s="1"/>
  <c r="T129" i="33" s="1"/>
  <c r="G129" i="33" s="1"/>
  <c r="BT140" i="12"/>
  <c r="G132" i="12"/>
  <c r="T132" i="33" s="1"/>
  <c r="G132" i="33" s="1"/>
  <c r="D36" i="12"/>
  <c r="E56" i="12"/>
  <c r="R56" i="33" s="1"/>
  <c r="CH32" i="12"/>
  <c r="I59" i="34"/>
  <c r="CH40" i="12" s="1"/>
  <c r="CH88" i="12"/>
  <c r="CH86" i="12"/>
  <c r="CG10" i="12"/>
  <c r="BE107" i="12"/>
  <c r="H62" i="34"/>
  <c r="CG43" i="12" s="1"/>
  <c r="CG41" i="12"/>
  <c r="CI136" i="12"/>
  <c r="CI143" i="12"/>
  <c r="CI130" i="12"/>
  <c r="CI81" i="12"/>
  <c r="CI84" i="12"/>
  <c r="CI103" i="12"/>
  <c r="CI150" i="12"/>
  <c r="CI34" i="12"/>
  <c r="CI133" i="12"/>
  <c r="CI33" i="12"/>
  <c r="CI149" i="12"/>
  <c r="CI79" i="12"/>
  <c r="CI142" i="12"/>
  <c r="CI89" i="12"/>
  <c r="CI85" i="12"/>
  <c r="CI63" i="12"/>
  <c r="CI83" i="12"/>
  <c r="CI135" i="12"/>
  <c r="CI139" i="12"/>
  <c r="CI114" i="12"/>
  <c r="CI72" i="12"/>
  <c r="CI80" i="12"/>
  <c r="CI138" i="12"/>
  <c r="CI100" i="12"/>
  <c r="CI151" i="12"/>
  <c r="CI134" i="12"/>
  <c r="CI137" i="12"/>
  <c r="CI152" i="12"/>
  <c r="CI131" i="12"/>
  <c r="CI132" i="12"/>
  <c r="CI87" i="12"/>
  <c r="CI119" i="12"/>
  <c r="CI120" i="12"/>
  <c r="CI61" i="12"/>
  <c r="CI60" i="12"/>
  <c r="CI59" i="12"/>
  <c r="CI75" i="12"/>
  <c r="D41" i="12"/>
  <c r="Q41" i="33" s="1"/>
  <c r="D41" i="33" s="1"/>
  <c r="CH27" i="12"/>
  <c r="I64" i="34"/>
  <c r="CH45" i="12" s="1"/>
  <c r="CH35" i="12"/>
  <c r="CE10" i="12"/>
  <c r="H68" i="34"/>
  <c r="CG47" i="12"/>
  <c r="CG25" i="12"/>
  <c r="H72" i="34"/>
  <c r="CG53" i="12" s="1"/>
  <c r="H69" i="34"/>
  <c r="CG50" i="12" s="1"/>
  <c r="H75" i="34"/>
  <c r="CG56" i="12" s="1"/>
  <c r="H56" i="34"/>
  <c r="F141" i="12"/>
  <c r="S141" i="33" s="1"/>
  <c r="F141" i="33" s="1"/>
  <c r="E144" i="12"/>
  <c r="R144" i="33" s="1"/>
  <c r="E144" i="33" s="1"/>
  <c r="CH23" i="12"/>
  <c r="I60" i="34"/>
  <c r="CH24" i="12"/>
  <c r="I61" i="34"/>
  <c r="CH42" i="12" s="1"/>
  <c r="CG31" i="12"/>
  <c r="H71" i="34"/>
  <c r="CG52" i="12" s="1"/>
  <c r="H77" i="34"/>
  <c r="CG58" i="12" s="1"/>
  <c r="H74" i="34"/>
  <c r="CG55" i="12" s="1"/>
  <c r="H58" i="34"/>
  <c r="CG39" i="12" s="1"/>
  <c r="G74" i="12"/>
  <c r="T74" i="33" s="1"/>
  <c r="G74" i="33" s="1"/>
  <c r="E43" i="12"/>
  <c r="R43" i="33" s="1"/>
  <c r="D44" i="12"/>
  <c r="CH29" i="12"/>
  <c r="I66" i="34"/>
  <c r="CH141" i="12"/>
  <c r="CH144" i="12"/>
  <c r="CH30" i="12"/>
  <c r="I67" i="34"/>
  <c r="CH48" i="12" s="1"/>
  <c r="CH129" i="12"/>
  <c r="CH140" i="12"/>
  <c r="BE37" i="12"/>
  <c r="BE10" i="12"/>
  <c r="G87" i="12"/>
  <c r="T87" i="33" s="1"/>
  <c r="G87" i="33" s="1"/>
  <c r="G138" i="12"/>
  <c r="T138" i="33" s="1"/>
  <c r="G138" i="33" s="1"/>
  <c r="G75" i="12"/>
  <c r="T75" i="33" s="1"/>
  <c r="G75" i="33" s="1"/>
  <c r="F88" i="12"/>
  <c r="D47" i="12"/>
  <c r="BD37" i="12"/>
  <c r="E81" i="29"/>
  <c r="CH74" i="12"/>
  <c r="CH77" i="12"/>
  <c r="I63" i="34"/>
  <c r="CH26" i="12"/>
  <c r="CD10" i="12"/>
  <c r="CG36" i="12"/>
  <c r="BD10" i="12"/>
  <c r="CH66" i="12"/>
  <c r="CH73" i="12"/>
  <c r="CE37" i="12"/>
  <c r="CG28" i="12"/>
  <c r="H73" i="34"/>
  <c r="CG54" i="12" s="1"/>
  <c r="H76" i="34"/>
  <c r="CG57" i="12" s="1"/>
  <c r="H57" i="34"/>
  <c r="CG38" i="12" s="1"/>
  <c r="H70" i="34"/>
  <c r="CG51" i="12" s="1"/>
  <c r="CH102" i="12"/>
  <c r="CH106" i="12"/>
  <c r="CH148" i="12"/>
  <c r="CH153" i="12"/>
  <c r="CG44" i="12"/>
  <c r="H65" i="34"/>
  <c r="CG46" i="12" s="1"/>
  <c r="CD37" i="12"/>
  <c r="E81" i="34"/>
  <c r="CH78" i="12"/>
  <c r="CH82" i="12"/>
  <c r="CE107" i="12"/>
  <c r="CF37" i="12"/>
  <c r="G134" i="12"/>
  <c r="T134" i="33" s="1"/>
  <c r="G134" i="33" s="1"/>
  <c r="G12" i="12"/>
  <c r="H146" i="12"/>
  <c r="U146" i="33" s="1"/>
  <c r="H126" i="12"/>
  <c r="U126" i="33" s="1"/>
  <c r="H93" i="12"/>
  <c r="U93" i="33" s="1"/>
  <c r="F82" i="12"/>
  <c r="G60" i="12"/>
  <c r="T60" i="33" s="1"/>
  <c r="G60" i="33" s="1"/>
  <c r="G135" i="12"/>
  <c r="T135" i="33" s="1"/>
  <c r="G135" i="33" s="1"/>
  <c r="G136" i="12"/>
  <c r="T136" i="33" s="1"/>
  <c r="G136" i="33" s="1"/>
  <c r="G120" i="12"/>
  <c r="G118" i="12"/>
  <c r="T118" i="33" s="1"/>
  <c r="F24" i="12"/>
  <c r="S24" i="33" s="1"/>
  <c r="F24" i="33" s="1"/>
  <c r="G33" i="12"/>
  <c r="T33" i="33" s="1"/>
  <c r="G33" i="33" s="1"/>
  <c r="F35" i="12"/>
  <c r="S35" i="33" s="1"/>
  <c r="F35" i="33" s="1"/>
  <c r="H101" i="12"/>
  <c r="U101" i="33" s="1"/>
  <c r="H101" i="33" s="1"/>
  <c r="G139" i="12"/>
  <c r="T139" i="33" s="1"/>
  <c r="G139" i="33" s="1"/>
  <c r="G149" i="12"/>
  <c r="T149" i="33" s="1"/>
  <c r="G149" i="33" s="1"/>
  <c r="G72" i="12"/>
  <c r="T72" i="33" s="1"/>
  <c r="G72" i="33" s="1"/>
  <c r="F42" i="12"/>
  <c r="S42" i="33" s="1"/>
  <c r="F42" i="33" s="1"/>
  <c r="F66" i="12"/>
  <c r="S66" i="33" s="1"/>
  <c r="F66" i="33" s="1"/>
  <c r="H123" i="12"/>
  <c r="U123" i="33" s="1"/>
  <c r="H121" i="12"/>
  <c r="U89" i="12"/>
  <c r="G59" i="12"/>
  <c r="T59" i="33" s="1"/>
  <c r="G59" i="33" s="1"/>
  <c r="G80" i="12"/>
  <c r="T80" i="33" s="1"/>
  <c r="G80" i="33" s="1"/>
  <c r="G133" i="12"/>
  <c r="T133" i="33" s="1"/>
  <c r="G133" i="33" s="1"/>
  <c r="F153" i="12"/>
  <c r="S153" i="33" s="1"/>
  <c r="H76" i="12"/>
  <c r="U76" i="33" s="1"/>
  <c r="H76" i="33" s="1"/>
  <c r="E25" i="12"/>
  <c r="R25" i="33" s="1"/>
  <c r="F144" i="12"/>
  <c r="G83" i="32"/>
  <c r="AF64" i="33" s="1"/>
  <c r="H116" i="12"/>
  <c r="U116" i="33" s="1"/>
  <c r="H71" i="12"/>
  <c r="U71" i="33" s="1"/>
  <c r="H71" i="33" s="1"/>
  <c r="G152" i="12"/>
  <c r="T152" i="33" s="1"/>
  <c r="G152" i="33" s="1"/>
  <c r="G79" i="12"/>
  <c r="T79" i="33" s="1"/>
  <c r="G79" i="33" s="1"/>
  <c r="F73" i="12"/>
  <c r="S73" i="33" s="1"/>
  <c r="G85" i="12"/>
  <c r="G137" i="12"/>
  <c r="T137" i="33" s="1"/>
  <c r="G137" i="33" s="1"/>
  <c r="G63" i="12"/>
  <c r="D106" i="12"/>
  <c r="E30" i="12"/>
  <c r="R30" i="33" s="1"/>
  <c r="E30" i="33" s="1"/>
  <c r="G143" i="12"/>
  <c r="T143" i="33" s="1"/>
  <c r="G143" i="33" s="1"/>
  <c r="I39" i="34"/>
  <c r="CH21" i="12" s="1"/>
  <c r="H57" i="21" s="1"/>
  <c r="CH11" i="12"/>
  <c r="J164" i="12"/>
  <c r="H104" i="12"/>
  <c r="U104" i="33" s="1"/>
  <c r="H104" i="33" s="1"/>
  <c r="H69" i="12"/>
  <c r="U69" i="33" s="1"/>
  <c r="H69" i="33" s="1"/>
  <c r="G83" i="12"/>
  <c r="G61" i="12"/>
  <c r="T61" i="33" s="1"/>
  <c r="G61" i="33" s="1"/>
  <c r="G130" i="12"/>
  <c r="T130" i="33" s="1"/>
  <c r="G130" i="33" s="1"/>
  <c r="G94" i="12"/>
  <c r="T94" i="33" s="1"/>
  <c r="G150" i="12"/>
  <c r="T150" i="33" s="1"/>
  <c r="G150" i="33" s="1"/>
  <c r="G84" i="12"/>
  <c r="E29" i="12"/>
  <c r="R29" i="33" s="1"/>
  <c r="E29" i="33" s="1"/>
  <c r="E48" i="12"/>
  <c r="R48" i="33" s="1"/>
  <c r="E48" i="33" s="1"/>
  <c r="G103" i="12"/>
  <c r="T103" i="33" s="1"/>
  <c r="G103" i="33" s="1"/>
  <c r="H99" i="12"/>
  <c r="G151" i="12"/>
  <c r="T151" i="33" s="1"/>
  <c r="G151" i="33" s="1"/>
  <c r="G100" i="12"/>
  <c r="T100" i="33" s="1"/>
  <c r="F140" i="12"/>
  <c r="F32" i="12"/>
  <c r="S32" i="33" s="1"/>
  <c r="F32" i="33" s="1"/>
  <c r="E53" i="12"/>
  <c r="R53" i="33" s="1"/>
  <c r="G34" i="12"/>
  <c r="T34" i="33" s="1"/>
  <c r="G34" i="33" s="1"/>
  <c r="F105" i="12"/>
  <c r="S105" i="33" s="1"/>
  <c r="F105" i="33" s="1"/>
  <c r="G89" i="12"/>
  <c r="H68" i="12"/>
  <c r="U68" i="33" s="1"/>
  <c r="H68" i="33" s="1"/>
  <c r="H145" i="12"/>
  <c r="U145" i="33" s="1"/>
  <c r="H96" i="12"/>
  <c r="U96" i="33" s="1"/>
  <c r="H96" i="33" s="1"/>
  <c r="G131" i="12"/>
  <c r="T131" i="33" s="1"/>
  <c r="G131" i="33" s="1"/>
  <c r="G119" i="12"/>
  <c r="G114" i="12"/>
  <c r="F40" i="12"/>
  <c r="S40" i="33" s="1"/>
  <c r="F40" i="33" s="1"/>
  <c r="E42" i="12"/>
  <c r="R42" i="33" s="1"/>
  <c r="E42" i="33" s="1"/>
  <c r="G142" i="12"/>
  <c r="T142" i="33" s="1"/>
  <c r="G142" i="33" s="1"/>
  <c r="E109" i="12"/>
  <c r="R109" i="33" s="1"/>
  <c r="E109" i="33" s="1"/>
  <c r="K171" i="12"/>
  <c r="E64" i="12"/>
  <c r="E41" i="12"/>
  <c r="R41" i="33" s="1"/>
  <c r="E111" i="12"/>
  <c r="R111" i="33" s="1"/>
  <c r="E111" i="33" s="1"/>
  <c r="BF110" i="12"/>
  <c r="E110" i="12"/>
  <c r="R110" i="33" s="1"/>
  <c r="E110" i="33" s="1"/>
  <c r="E108" i="12"/>
  <c r="R108" i="33" s="1"/>
  <c r="E108" i="33" s="1"/>
  <c r="E112" i="12"/>
  <c r="R112" i="33" s="1"/>
  <c r="E112" i="33" s="1"/>
  <c r="BF111" i="12"/>
  <c r="CF111" i="12"/>
  <c r="O73" i="15"/>
  <c r="CF64" i="12"/>
  <c r="BF107" i="12"/>
  <c r="CF107" i="12"/>
  <c r="M69" i="8"/>
  <c r="M74" i="8"/>
  <c r="M67" i="8"/>
  <c r="M73" i="8"/>
  <c r="M70" i="8"/>
  <c r="M72" i="8"/>
  <c r="P92" i="15"/>
  <c r="P94" i="15" s="1"/>
  <c r="M94" i="15"/>
  <c r="M151" i="15" s="1"/>
  <c r="M152" i="15" s="1"/>
  <c r="N378" i="14"/>
  <c r="N384" i="14"/>
  <c r="N334" i="14"/>
  <c r="N356" i="14"/>
  <c r="N402" i="14"/>
  <c r="N405" i="14"/>
  <c r="N338" i="14"/>
  <c r="N352" i="14"/>
  <c r="N318" i="14"/>
  <c r="N360" i="14"/>
  <c r="N349" i="14"/>
  <c r="N412" i="14"/>
  <c r="N419" i="14"/>
  <c r="N426" i="14"/>
  <c r="N411" i="14"/>
  <c r="N339" i="14"/>
  <c r="N380" i="14"/>
  <c r="N383" i="14"/>
  <c r="N386" i="14"/>
  <c r="N401" i="14"/>
  <c r="N330" i="14"/>
  <c r="N348" i="14"/>
  <c r="N437" i="14"/>
  <c r="N385" i="14"/>
  <c r="N345" i="14"/>
  <c r="N396" i="14"/>
  <c r="N319" i="14"/>
  <c r="N438" i="14"/>
  <c r="N393" i="14"/>
  <c r="N347" i="14"/>
  <c r="N390" i="14"/>
  <c r="N432" i="14"/>
  <c r="N382" i="14"/>
  <c r="N381" i="14"/>
  <c r="N322" i="14"/>
  <c r="N344" i="14"/>
  <c r="N388" i="14"/>
  <c r="N372" i="14"/>
  <c r="N433" i="14"/>
  <c r="N395" i="14"/>
  <c r="N387" i="14"/>
  <c r="N335" i="14"/>
  <c r="N394" i="14"/>
  <c r="N355" i="14"/>
  <c r="N363" i="14"/>
  <c r="N430" i="14"/>
  <c r="N418" i="14"/>
  <c r="N421" i="14"/>
  <c r="N354" i="14"/>
  <c r="N370" i="14"/>
  <c r="N336" i="14"/>
  <c r="N428" i="14"/>
  <c r="N357" i="14"/>
  <c r="N399" i="14"/>
  <c r="N434" i="14"/>
  <c r="N408" i="14"/>
  <c r="N351" i="14"/>
  <c r="N328" i="14"/>
  <c r="N424" i="14"/>
  <c r="N415" i="14"/>
  <c r="N375" i="14"/>
  <c r="N410" i="14"/>
  <c r="N413" i="14"/>
  <c r="N346" i="14"/>
  <c r="N368" i="14"/>
  <c r="N325" i="14"/>
  <c r="N366" i="14"/>
  <c r="N353" i="14"/>
  <c r="N400" i="14"/>
  <c r="N440" i="14"/>
  <c r="N420" i="14"/>
  <c r="N436" i="14"/>
  <c r="N404" i="14"/>
  <c r="N435" i="14"/>
  <c r="N416" i="14"/>
  <c r="N417" i="14"/>
  <c r="N340" i="14"/>
  <c r="N56" i="14" s="1"/>
  <c r="N60" i="14" s="1"/>
  <c r="N373" i="14"/>
  <c r="N425" i="14"/>
  <c r="N391" i="14"/>
  <c r="N409" i="14"/>
  <c r="N333" i="14"/>
  <c r="N324" i="14"/>
  <c r="N316" i="14"/>
  <c r="N321" i="14"/>
  <c r="N358" i="14"/>
  <c r="N362" i="14"/>
  <c r="N439" i="14"/>
  <c r="N343" i="14"/>
  <c r="N407" i="14"/>
  <c r="N350" i="14"/>
  <c r="N376" i="14"/>
  <c r="N392" i="14"/>
  <c r="N398" i="14"/>
  <c r="N429" i="14"/>
  <c r="N342" i="14"/>
  <c r="N397" i="14"/>
  <c r="N423" i="14"/>
  <c r="N431" i="14"/>
  <c r="N371" i="14"/>
  <c r="N414" i="14"/>
  <c r="N377" i="14"/>
  <c r="N364" i="14"/>
  <c r="N359" i="14"/>
  <c r="N427" i="14"/>
  <c r="N331" i="14"/>
  <c r="N406" i="14"/>
  <c r="N369" i="14"/>
  <c r="N365" i="14"/>
  <c r="N59" i="14" s="1"/>
  <c r="N403" i="14"/>
  <c r="N389" i="14"/>
  <c r="N367" i="14"/>
  <c r="N361" i="14"/>
  <c r="N341" i="14"/>
  <c r="N379" i="14"/>
  <c r="N327" i="14"/>
  <c r="N374" i="14"/>
  <c r="N329" i="14"/>
  <c r="N332" i="14"/>
  <c r="N323" i="14"/>
  <c r="N64" i="14" s="1"/>
  <c r="N337" i="14"/>
  <c r="N320" i="14"/>
  <c r="N63" i="14" s="1"/>
  <c r="N422" i="14"/>
  <c r="N65" i="14" s="1"/>
  <c r="N42" i="14" s="1"/>
  <c r="N317" i="14"/>
  <c r="N58" i="14" s="1"/>
  <c r="N326" i="14"/>
  <c r="N5" i="14"/>
  <c r="P66" i="15"/>
  <c r="P70" i="15" s="1"/>
  <c r="O72" i="15"/>
  <c r="M65" i="14"/>
  <c r="M42" i="14" s="1"/>
  <c r="U23" i="12"/>
  <c r="N204" i="32"/>
  <c r="AM169" i="33" s="1"/>
  <c r="AM171" i="33" s="1"/>
  <c r="M64" i="14"/>
  <c r="O74" i="15"/>
  <c r="O69" i="15"/>
  <c r="O151" i="15"/>
  <c r="L66" i="14"/>
  <c r="Q58" i="15"/>
  <c r="Q441" i="15"/>
  <c r="Q92" i="15"/>
  <c r="Q94" i="15" s="1"/>
  <c r="N94" i="15"/>
  <c r="N151" i="15" s="1"/>
  <c r="M56" i="14"/>
  <c r="M60" i="14" s="1"/>
  <c r="M62" i="14"/>
  <c r="P68" i="15"/>
  <c r="P75" i="15" s="1"/>
  <c r="P151" i="15" s="1"/>
  <c r="Q82" i="8"/>
  <c r="Q91" i="8"/>
  <c r="Q108" i="8" s="1"/>
  <c r="Q79" i="8"/>
  <c r="Q141" i="8"/>
  <c r="Q32" i="8" s="1"/>
  <c r="Q123" i="8"/>
  <c r="Q40" i="8" s="1"/>
  <c r="Q81" i="8"/>
  <c r="Q89" i="8" s="1"/>
  <c r="Q92" i="8"/>
  <c r="Q136" i="8"/>
  <c r="Q149" i="8"/>
  <c r="Q156" i="8"/>
  <c r="Q104" i="8"/>
  <c r="Q105" i="8"/>
  <c r="Q106" i="8"/>
  <c r="Q76" i="8"/>
  <c r="Q80" i="8" s="1"/>
  <c r="Q77" i="8"/>
  <c r="Q128" i="8"/>
  <c r="Q64" i="15"/>
  <c r="Q56" i="15"/>
  <c r="Q60" i="15" s="1"/>
  <c r="L67" i="14"/>
  <c r="P77" i="14"/>
  <c r="P76" i="14"/>
  <c r="P80" i="14" s="1"/>
  <c r="M63" i="14"/>
  <c r="M66" i="14" s="1"/>
  <c r="N68" i="8"/>
  <c r="N75" i="8" s="1"/>
  <c r="P82" i="8"/>
  <c r="P156" i="8"/>
  <c r="P92" i="8"/>
  <c r="P123" i="8"/>
  <c r="P40" i="8" s="1"/>
  <c r="P136" i="8"/>
  <c r="P91" i="8"/>
  <c r="P108" i="8" s="1"/>
  <c r="P81" i="8"/>
  <c r="P89" i="8" s="1"/>
  <c r="P141" i="8"/>
  <c r="P32" i="8" s="1"/>
  <c r="P149" i="8"/>
  <c r="P79" i="8"/>
  <c r="P104" i="8"/>
  <c r="P106" i="8"/>
  <c r="P105" i="8"/>
  <c r="P77" i="8"/>
  <c r="P76" i="8"/>
  <c r="P80" i="8" s="1"/>
  <c r="P128" i="8"/>
  <c r="P95" i="8"/>
  <c r="P97" i="8"/>
  <c r="P96" i="8"/>
  <c r="P100" i="8"/>
  <c r="P99" i="8"/>
  <c r="P102" i="8"/>
  <c r="P98" i="8"/>
  <c r="P103" i="8"/>
  <c r="P160" i="8"/>
  <c r="Q102" i="8"/>
  <c r="Q65" i="15"/>
  <c r="Q42" i="15" s="1"/>
  <c r="Q62" i="15"/>
  <c r="M58" i="14"/>
  <c r="M441" i="14"/>
  <c r="O371" i="8"/>
  <c r="O406" i="8"/>
  <c r="O393" i="8"/>
  <c r="O383" i="8"/>
  <c r="O382" i="8"/>
  <c r="O404" i="8"/>
  <c r="O384" i="8"/>
  <c r="O342" i="8"/>
  <c r="O339" i="8"/>
  <c r="O423" i="8"/>
  <c r="O421" i="8"/>
  <c r="O435" i="8"/>
  <c r="O352" i="8"/>
  <c r="O366" i="8"/>
  <c r="O389" i="8"/>
  <c r="O451" i="8"/>
  <c r="O370" i="8"/>
  <c r="O396" i="8"/>
  <c r="O367" i="8"/>
  <c r="O335" i="8"/>
  <c r="O347" i="8"/>
  <c r="O429" i="8"/>
  <c r="O436" i="8"/>
  <c r="O431" i="8"/>
  <c r="O443" i="8"/>
  <c r="O448" i="8"/>
  <c r="O357" i="8"/>
  <c r="O442" i="8"/>
  <c r="O376" i="8"/>
  <c r="O412" i="8"/>
  <c r="O385" i="8"/>
  <c r="O418" i="8"/>
  <c r="O457" i="8"/>
  <c r="O388" i="8"/>
  <c r="O380" i="8"/>
  <c r="O355" i="8"/>
  <c r="O424" i="8"/>
  <c r="O344" i="8"/>
  <c r="O356" i="8"/>
  <c r="O390" i="8"/>
  <c r="O458" i="8"/>
  <c r="O455" i="8"/>
  <c r="O410" i="8"/>
  <c r="O408" i="8"/>
  <c r="O375" i="8"/>
  <c r="O372" i="8"/>
  <c r="O391" i="8"/>
  <c r="O351" i="8"/>
  <c r="O426" i="8"/>
  <c r="O419" i="8"/>
  <c r="O444" i="8"/>
  <c r="O361" i="8"/>
  <c r="O452" i="8"/>
  <c r="O401" i="8"/>
  <c r="O411" i="8"/>
  <c r="O394" i="8"/>
  <c r="O416" i="8"/>
  <c r="O400" i="8"/>
  <c r="O438" i="8"/>
  <c r="O348" i="8"/>
  <c r="O354" i="8"/>
  <c r="O427" i="8"/>
  <c r="O338" i="8"/>
  <c r="O446" i="8"/>
  <c r="O450" i="8"/>
  <c r="O454" i="8"/>
  <c r="O422" i="8"/>
  <c r="O353" i="8"/>
  <c r="O453" i="8"/>
  <c r="O350" i="8"/>
  <c r="O360" i="8"/>
  <c r="O415" i="8"/>
  <c r="O456" i="8"/>
  <c r="O434" i="8"/>
  <c r="O341" i="8"/>
  <c r="O449" i="8"/>
  <c r="O365" i="8"/>
  <c r="O362" i="8"/>
  <c r="O433" i="8"/>
  <c r="O425" i="8"/>
  <c r="O395" i="8"/>
  <c r="O420" i="8"/>
  <c r="O445" i="8"/>
  <c r="O377" i="8"/>
  <c r="O414" i="8"/>
  <c r="O403" i="8"/>
  <c r="O432" i="8"/>
  <c r="O402" i="8"/>
  <c r="O409" i="8"/>
  <c r="O413" i="8"/>
  <c r="O387" i="8"/>
  <c r="O417" i="8"/>
  <c r="O392" i="8"/>
  <c r="O345" i="8"/>
  <c r="O447" i="8"/>
  <c r="O407" i="8"/>
  <c r="O381" i="8"/>
  <c r="O386" i="8"/>
  <c r="O437" i="8"/>
  <c r="O428" i="8"/>
  <c r="O399" i="8"/>
  <c r="O441" i="8"/>
  <c r="O405" i="8"/>
  <c r="O430" i="8"/>
  <c r="O398" i="8"/>
  <c r="O397" i="8"/>
  <c r="O336" i="8"/>
  <c r="O440" i="8"/>
  <c r="O340" i="8"/>
  <c r="O64" i="8" s="1"/>
  <c r="O346" i="8"/>
  <c r="O334" i="8"/>
  <c r="O343" i="8"/>
  <c r="O337" i="8"/>
  <c r="O63" i="8" s="1"/>
  <c r="O349" i="8"/>
  <c r="O439" i="8"/>
  <c r="O65" i="8" s="1"/>
  <c r="O42" i="8" s="1"/>
  <c r="O379" i="8"/>
  <c r="O358" i="8"/>
  <c r="O56" i="8" s="1"/>
  <c r="O60" i="8" s="1"/>
  <c r="O359" i="8"/>
  <c r="O378" i="8"/>
  <c r="O373" i="8"/>
  <c r="O374" i="8"/>
  <c r="O368" i="8"/>
  <c r="O369" i="8"/>
  <c r="O363" i="8"/>
  <c r="O364" i="8"/>
  <c r="O76" i="14"/>
  <c r="O80" i="14" s="1"/>
  <c r="O77" i="14"/>
  <c r="N459" i="8"/>
  <c r="N57" i="8" s="1"/>
  <c r="N58" i="8"/>
  <c r="N62" i="8"/>
  <c r="N66" i="8" s="1"/>
  <c r="Q63" i="15"/>
  <c r="Q92" i="14"/>
  <c r="Q94" i="14" s="1"/>
  <c r="N94" i="14"/>
  <c r="P4" i="8"/>
  <c r="O5" i="8"/>
  <c r="N59" i="8"/>
  <c r="Q96" i="8"/>
  <c r="U134" i="12"/>
  <c r="U103" i="12"/>
  <c r="S89" i="33"/>
  <c r="F89" i="33" s="1"/>
  <c r="S98" i="33"/>
  <c r="F98" i="33" s="1"/>
  <c r="S83" i="33"/>
  <c r="F83" i="33" s="1"/>
  <c r="S63" i="33"/>
  <c r="F63" i="33" s="1"/>
  <c r="Q77" i="33"/>
  <c r="D77" i="33" s="1"/>
  <c r="Q113" i="33"/>
  <c r="D113" i="33" s="1"/>
  <c r="R140" i="33"/>
  <c r="E140" i="33" s="1"/>
  <c r="R77" i="33"/>
  <c r="E77" i="33" s="1"/>
  <c r="AE125" i="33"/>
  <c r="E125" i="33" s="1"/>
  <c r="AF90" i="33"/>
  <c r="F90" i="33" s="1"/>
  <c r="AF91" i="33"/>
  <c r="F91" i="33" s="1"/>
  <c r="AF116" i="33"/>
  <c r="F116" i="33" s="1"/>
  <c r="AF115" i="33"/>
  <c r="F115" i="33" s="1"/>
  <c r="AF109" i="33"/>
  <c r="AF146" i="33"/>
  <c r="F146" i="33" s="1"/>
  <c r="AF124" i="33"/>
  <c r="F124" i="33" s="1"/>
  <c r="AF112" i="33"/>
  <c r="AF108" i="33"/>
  <c r="AF126" i="33"/>
  <c r="F126" i="33" s="1"/>
  <c r="G39" i="29"/>
  <c r="BF21" i="12" s="1"/>
  <c r="BF10" i="12"/>
  <c r="Q88" i="33"/>
  <c r="D88" i="33" s="1"/>
  <c r="T99" i="33"/>
  <c r="G99" i="33" s="1"/>
  <c r="AJ105" i="33"/>
  <c r="Q144" i="33"/>
  <c r="D144" i="33" s="1"/>
  <c r="AE20" i="33"/>
  <c r="E20" i="33" s="1"/>
  <c r="G38" i="32"/>
  <c r="AF17" i="33"/>
  <c r="F17" i="33" s="1"/>
  <c r="T121" i="33"/>
  <c r="G121" i="33" s="1"/>
  <c r="S114" i="33"/>
  <c r="F114" i="33" s="1"/>
  <c r="S85" i="33"/>
  <c r="F85" i="33" s="1"/>
  <c r="Q140" i="33"/>
  <c r="D140" i="33" s="1"/>
  <c r="Q73" i="33"/>
  <c r="D73" i="33" s="1"/>
  <c r="R88" i="33"/>
  <c r="E88" i="33" s="1"/>
  <c r="AE128" i="33"/>
  <c r="E128" i="33" s="1"/>
  <c r="AF92" i="33"/>
  <c r="F92" i="33" s="1"/>
  <c r="AF117" i="33"/>
  <c r="F117" i="33" s="1"/>
  <c r="AF111" i="33"/>
  <c r="AF107" i="33"/>
  <c r="AF127" i="33"/>
  <c r="F127" i="33" s="1"/>
  <c r="AF122" i="33"/>
  <c r="F122" i="33" s="1"/>
  <c r="AF110" i="33"/>
  <c r="AF145" i="33"/>
  <c r="F145" i="33" s="1"/>
  <c r="AF123" i="33"/>
  <c r="F123" i="33" s="1"/>
  <c r="S84" i="33"/>
  <c r="F84" i="33" s="1"/>
  <c r="Q141" i="33"/>
  <c r="D141" i="33" s="1"/>
  <c r="S16" i="12"/>
  <c r="R6" i="33"/>
  <c r="AF16" i="12"/>
  <c r="BX16" i="12"/>
  <c r="E29" i="26"/>
  <c r="Q10" i="12"/>
  <c r="S119" i="33"/>
  <c r="F119" i="33" s="1"/>
  <c r="S120" i="33"/>
  <c r="F120" i="33" s="1"/>
  <c r="Q82" i="33"/>
  <c r="D82" i="33" s="1"/>
  <c r="AJ35" i="33"/>
  <c r="AJ60" i="33"/>
  <c r="AJ59" i="33"/>
  <c r="AN79" i="33"/>
  <c r="R82" i="33"/>
  <c r="E82" i="33" s="1"/>
  <c r="AJ34" i="33"/>
  <c r="AJ33" i="33"/>
  <c r="AJ61" i="33"/>
  <c r="Q40" i="33"/>
  <c r="D40" i="33" s="1"/>
  <c r="Q45" i="33"/>
  <c r="D45" i="33" s="1"/>
  <c r="Q27" i="33"/>
  <c r="D27" i="33" s="1"/>
  <c r="Q30" i="33"/>
  <c r="D30" i="33" s="1"/>
  <c r="Q42" i="33"/>
  <c r="D42" i="33" s="1"/>
  <c r="Q48" i="33"/>
  <c r="D48" i="33" s="1"/>
  <c r="Q32" i="33"/>
  <c r="D32" i="33" s="1"/>
  <c r="Q24" i="33"/>
  <c r="D24" i="33" s="1"/>
  <c r="AH24" i="12"/>
  <c r="P99" i="32"/>
  <c r="T144" i="12"/>
  <c r="BF109" i="12"/>
  <c r="BF112" i="12"/>
  <c r="BF108" i="12"/>
  <c r="G62" i="26"/>
  <c r="S43" i="12" s="1"/>
  <c r="E73" i="33"/>
  <c r="K96" i="32"/>
  <c r="AJ77" i="33" s="1"/>
  <c r="L78" i="32"/>
  <c r="L79" i="32"/>
  <c r="L80" i="32"/>
  <c r="K185" i="29"/>
  <c r="K95" i="29" s="1"/>
  <c r="J185" i="28"/>
  <c r="J95" i="28" s="1"/>
  <c r="J185" i="27"/>
  <c r="AI141" i="12"/>
  <c r="L121" i="32"/>
  <c r="AK101" i="33" s="1"/>
  <c r="L123" i="32"/>
  <c r="AK103" i="33" s="1"/>
  <c r="L134" i="32"/>
  <c r="AK114" i="33" s="1"/>
  <c r="L122" i="32"/>
  <c r="AK102" i="33" s="1"/>
  <c r="L124" i="32"/>
  <c r="AK104" i="33" s="1"/>
  <c r="L141" i="32"/>
  <c r="AK121" i="33" s="1"/>
  <c r="L115" i="32"/>
  <c r="AK95" i="33" s="1"/>
  <c r="L120" i="32"/>
  <c r="AK100" i="33" s="1"/>
  <c r="L109" i="32"/>
  <c r="AK89" i="33" s="1"/>
  <c r="AK63" i="33"/>
  <c r="O197" i="27"/>
  <c r="AH127" i="12"/>
  <c r="BU143" i="12"/>
  <c r="BU142" i="12"/>
  <c r="BU32" i="12"/>
  <c r="BU34" i="12"/>
  <c r="BU35" i="12"/>
  <c r="BU33" i="12"/>
  <c r="BH141" i="12"/>
  <c r="BH142" i="12"/>
  <c r="BH35" i="12"/>
  <c r="BH33" i="12"/>
  <c r="BH34" i="12"/>
  <c r="L140" i="32"/>
  <c r="AK120" i="33" s="1"/>
  <c r="BF64" i="12"/>
  <c r="G92" i="32"/>
  <c r="AF73" i="33" s="1"/>
  <c r="F67" i="33"/>
  <c r="E118" i="33"/>
  <c r="U143" i="12"/>
  <c r="U142" i="12"/>
  <c r="U33" i="12"/>
  <c r="AH34" i="12"/>
  <c r="AG141" i="12"/>
  <c r="AG144" i="12"/>
  <c r="AU35" i="12"/>
  <c r="AU33" i="12"/>
  <c r="AT141" i="12"/>
  <c r="AT144" i="12"/>
  <c r="O101" i="32"/>
  <c r="AN82" i="33" s="1"/>
  <c r="AH141" i="12"/>
  <c r="AU142" i="12"/>
  <c r="BF102" i="12"/>
  <c r="BF106" i="12"/>
  <c r="BG73" i="12"/>
  <c r="BG66" i="12"/>
  <c r="AE10" i="12"/>
  <c r="AE102" i="12"/>
  <c r="AR102" i="12"/>
  <c r="L139" i="32"/>
  <c r="AK119" i="33" s="1"/>
  <c r="U141" i="12"/>
  <c r="U35" i="12"/>
  <c r="AH35" i="12"/>
  <c r="AH33" i="12"/>
  <c r="BT35" i="12"/>
  <c r="G35" i="12" s="1"/>
  <c r="BG141" i="12"/>
  <c r="BG144" i="12"/>
  <c r="P6" i="32"/>
  <c r="O61" i="32"/>
  <c r="AN42" i="33" s="1"/>
  <c r="AU34" i="12"/>
  <c r="K126" i="32"/>
  <c r="K118" i="32"/>
  <c r="AJ98" i="33" s="1"/>
  <c r="AH142" i="12"/>
  <c r="AU141" i="12"/>
  <c r="R106" i="12"/>
  <c r="R102" i="12"/>
  <c r="T73" i="12"/>
  <c r="T66" i="12"/>
  <c r="L25" i="21"/>
  <c r="AL169" i="33"/>
  <c r="AL171" i="33" s="1"/>
  <c r="Q54" i="12"/>
  <c r="D54" i="12" s="1"/>
  <c r="Q38" i="12"/>
  <c r="D38" i="12" s="1"/>
  <c r="Q43" i="12"/>
  <c r="D43" i="12" s="1"/>
  <c r="Q52" i="12"/>
  <c r="D52" i="12" s="1"/>
  <c r="Q39" i="12"/>
  <c r="D39" i="12" s="1"/>
  <c r="Q56" i="12"/>
  <c r="D56" i="12" s="1"/>
  <c r="Q49" i="12"/>
  <c r="Q57" i="12"/>
  <c r="D57" i="12" s="1"/>
  <c r="Q51" i="12"/>
  <c r="D51" i="12" s="1"/>
  <c r="Q55" i="12"/>
  <c r="D55" i="12" s="1"/>
  <c r="Q46" i="12"/>
  <c r="D46" i="12" s="1"/>
  <c r="Q50" i="12"/>
  <c r="D50" i="12" s="1"/>
  <c r="Q53" i="12"/>
  <c r="D53" i="12" s="1"/>
  <c r="G62" i="27"/>
  <c r="AF43" i="12" s="1"/>
  <c r="AF41" i="12"/>
  <c r="I63" i="27"/>
  <c r="AH44" i="12" s="1"/>
  <c r="AH26" i="12"/>
  <c r="H60" i="27"/>
  <c r="AG41" i="12" s="1"/>
  <c r="AG23" i="12"/>
  <c r="G67" i="27"/>
  <c r="AF48" i="12" s="1"/>
  <c r="AF30" i="12"/>
  <c r="H59" i="26"/>
  <c r="T40" i="12" s="1"/>
  <c r="T32" i="12"/>
  <c r="H61" i="26"/>
  <c r="T42" i="12" s="1"/>
  <c r="T24" i="12"/>
  <c r="G67" i="26"/>
  <c r="S48" i="12" s="1"/>
  <c r="S30" i="12"/>
  <c r="H59" i="28"/>
  <c r="AT40" i="12" s="1"/>
  <c r="AT32" i="12"/>
  <c r="H60" i="28"/>
  <c r="AT41" i="12" s="1"/>
  <c r="AT23" i="12"/>
  <c r="G67" i="28"/>
  <c r="AS48" i="12" s="1"/>
  <c r="AS30" i="12"/>
  <c r="I61" i="28"/>
  <c r="AU42" i="12" s="1"/>
  <c r="AU24" i="12"/>
  <c r="G62" i="28"/>
  <c r="AS43" i="12" s="1"/>
  <c r="AS41" i="12"/>
  <c r="H63" i="29"/>
  <c r="BG44" i="12" s="1"/>
  <c r="BG26" i="12"/>
  <c r="G67" i="29"/>
  <c r="BF48" i="12" s="1"/>
  <c r="BF30" i="12"/>
  <c r="H61" i="29"/>
  <c r="BG42" i="12" s="1"/>
  <c r="BG24" i="12"/>
  <c r="G62" i="29"/>
  <c r="BF43" i="12" s="1"/>
  <c r="BF41" i="12"/>
  <c r="BG105" i="12"/>
  <c r="G105" i="12" s="1"/>
  <c r="J185" i="26"/>
  <c r="H142" i="32"/>
  <c r="H144" i="32"/>
  <c r="H147" i="32"/>
  <c r="H166" i="32"/>
  <c r="H127" i="32"/>
  <c r="H129" i="32"/>
  <c r="H131" i="32"/>
  <c r="H143" i="32"/>
  <c r="H146" i="32"/>
  <c r="H165" i="32"/>
  <c r="H128" i="32"/>
  <c r="H130" i="32"/>
  <c r="H132" i="32"/>
  <c r="H136" i="32"/>
  <c r="H135" i="32"/>
  <c r="H137" i="32"/>
  <c r="BT64" i="12"/>
  <c r="H86" i="32"/>
  <c r="AG67" i="33" s="1"/>
  <c r="G133" i="32"/>
  <c r="AF113" i="33" s="1"/>
  <c r="G145" i="32"/>
  <c r="AF125" i="33" s="1"/>
  <c r="G173" i="32"/>
  <c r="AF153" i="33" s="1"/>
  <c r="G114" i="32"/>
  <c r="G138" i="32"/>
  <c r="AF118" i="33" s="1"/>
  <c r="G148" i="32"/>
  <c r="AF128" i="33" s="1"/>
  <c r="H59" i="29"/>
  <c r="BG40" i="12" s="1"/>
  <c r="H59" i="27"/>
  <c r="AG40" i="12" s="1"/>
  <c r="J64" i="32"/>
  <c r="AI45" i="33" s="1"/>
  <c r="L53" i="32"/>
  <c r="L54" i="32"/>
  <c r="L52" i="32"/>
  <c r="AT140" i="12"/>
  <c r="AG82" i="12"/>
  <c r="T82" i="12"/>
  <c r="BG77" i="12"/>
  <c r="BF29" i="12"/>
  <c r="AF29" i="12"/>
  <c r="S29" i="12"/>
  <c r="AS29" i="12"/>
  <c r="F66" i="28"/>
  <c r="F64" i="26"/>
  <c r="R28" i="12"/>
  <c r="F64" i="28"/>
  <c r="AR28" i="12"/>
  <c r="BF27" i="12"/>
  <c r="AS27" i="12"/>
  <c r="S27" i="12"/>
  <c r="AF27" i="12"/>
  <c r="F66" i="26"/>
  <c r="F66" i="27"/>
  <c r="AE31" i="12"/>
  <c r="F64" i="27"/>
  <c r="AE28" i="12"/>
  <c r="BU59" i="12"/>
  <c r="BU72" i="12"/>
  <c r="BU75" i="12"/>
  <c r="BU81" i="12"/>
  <c r="BU86" i="12"/>
  <c r="BU119" i="12"/>
  <c r="BU130" i="12"/>
  <c r="BU134" i="12"/>
  <c r="BU138" i="12"/>
  <c r="BU148" i="12"/>
  <c r="BU152" i="12"/>
  <c r="BU26" i="12"/>
  <c r="BU78" i="12"/>
  <c r="BU83" i="12"/>
  <c r="BU87" i="12"/>
  <c r="BU120" i="12"/>
  <c r="BU135" i="12"/>
  <c r="BU149" i="12"/>
  <c r="BU133" i="12"/>
  <c r="BU23" i="12"/>
  <c r="BU61" i="12"/>
  <c r="BU66" i="12"/>
  <c r="BU63" i="12"/>
  <c r="BU79" i="12"/>
  <c r="BU84" i="12"/>
  <c r="BU103" i="12"/>
  <c r="BU132" i="12"/>
  <c r="BU136" i="12"/>
  <c r="BU150" i="12"/>
  <c r="BU60" i="12"/>
  <c r="BU80" i="12"/>
  <c r="BU85" i="12"/>
  <c r="BU89" i="12"/>
  <c r="BU100" i="12"/>
  <c r="BU131" i="12"/>
  <c r="BU139" i="12"/>
  <c r="BU114" i="12"/>
  <c r="BU129" i="12"/>
  <c r="BU137" i="12"/>
  <c r="BU151" i="12"/>
  <c r="G56" i="29"/>
  <c r="BF37" i="12" s="1"/>
  <c r="G72" i="29"/>
  <c r="BF53" i="12" s="1"/>
  <c r="G69" i="29"/>
  <c r="BF50" i="12" s="1"/>
  <c r="G75" i="29"/>
  <c r="BF56" i="12" s="1"/>
  <c r="AH151" i="12"/>
  <c r="AH139" i="12"/>
  <c r="AH94" i="12"/>
  <c r="AH75" i="12"/>
  <c r="AH60" i="12"/>
  <c r="AH61" i="12"/>
  <c r="E153" i="33"/>
  <c r="AH133" i="12"/>
  <c r="AH114" i="12"/>
  <c r="AH84" i="12"/>
  <c r="AH152" i="12"/>
  <c r="AH134" i="12"/>
  <c r="AH85" i="12"/>
  <c r="T77" i="12"/>
  <c r="T153" i="12"/>
  <c r="AT88" i="12"/>
  <c r="AG153" i="12"/>
  <c r="AH149" i="12"/>
  <c r="AH131" i="12"/>
  <c r="AH105" i="12"/>
  <c r="AH81" i="12"/>
  <c r="AH148" i="12"/>
  <c r="AH138" i="12"/>
  <c r="AH130" i="12"/>
  <c r="AH119" i="12"/>
  <c r="AH103" i="12"/>
  <c r="AH86" i="12"/>
  <c r="AH129" i="12"/>
  <c r="AH120" i="12"/>
  <c r="AH100" i="12"/>
  <c r="AH89" i="12"/>
  <c r="AH80" i="12"/>
  <c r="AH72" i="12"/>
  <c r="AH137" i="12"/>
  <c r="AH135" i="12"/>
  <c r="AH136" i="12"/>
  <c r="AH132" i="12"/>
  <c r="AH79" i="12"/>
  <c r="AH63" i="12"/>
  <c r="AH87" i="12"/>
  <c r="AH83" i="12"/>
  <c r="AH78" i="12"/>
  <c r="AH74" i="12"/>
  <c r="AH59" i="12"/>
  <c r="AH32" i="12"/>
  <c r="U135" i="12"/>
  <c r="U85" i="12"/>
  <c r="U148" i="12"/>
  <c r="U74" i="12"/>
  <c r="U87" i="12"/>
  <c r="U152" i="12"/>
  <c r="U139" i="12"/>
  <c r="U131" i="12"/>
  <c r="U100" i="12"/>
  <c r="U80" i="12"/>
  <c r="U72" i="12"/>
  <c r="U60" i="12"/>
  <c r="U133" i="12"/>
  <c r="U120" i="12"/>
  <c r="U78" i="12"/>
  <c r="U151" i="12"/>
  <c r="U79" i="12"/>
  <c r="U61" i="12"/>
  <c r="E81" i="28"/>
  <c r="U150" i="12"/>
  <c r="U137" i="12"/>
  <c r="U129" i="12"/>
  <c r="U114" i="12"/>
  <c r="U83" i="12"/>
  <c r="U66" i="12"/>
  <c r="U138" i="12"/>
  <c r="U130" i="12"/>
  <c r="U119" i="12"/>
  <c r="U84" i="12"/>
  <c r="U149" i="12"/>
  <c r="U136" i="12"/>
  <c r="U132" i="12"/>
  <c r="U105" i="12"/>
  <c r="U81" i="12"/>
  <c r="U75" i="12"/>
  <c r="U63" i="12"/>
  <c r="U59" i="12"/>
  <c r="E81" i="27"/>
  <c r="E81" i="26"/>
  <c r="S12" i="33"/>
  <c r="AF111" i="12"/>
  <c r="AS111" i="12"/>
  <c r="S111" i="12"/>
  <c r="AF112" i="12"/>
  <c r="AS112" i="12"/>
  <c r="S112" i="12"/>
  <c r="AF108" i="12"/>
  <c r="AS108" i="12"/>
  <c r="S108" i="12"/>
  <c r="AH125" i="12"/>
  <c r="BG153" i="12"/>
  <c r="AU148" i="12"/>
  <c r="AU134" i="12"/>
  <c r="AU119" i="12"/>
  <c r="AU150" i="12"/>
  <c r="AU136" i="12"/>
  <c r="AU100" i="12"/>
  <c r="AU85" i="12"/>
  <c r="AU32" i="12"/>
  <c r="AU151" i="12"/>
  <c r="AU139" i="12"/>
  <c r="AU135" i="12"/>
  <c r="AU131" i="12"/>
  <c r="AU98" i="12"/>
  <c r="AU87" i="12"/>
  <c r="AU79" i="12"/>
  <c r="AU60" i="12"/>
  <c r="AU23" i="12"/>
  <c r="AU103" i="12"/>
  <c r="AU89" i="12"/>
  <c r="AU84" i="12"/>
  <c r="AU78" i="12"/>
  <c r="AU72" i="12"/>
  <c r="AU59" i="12"/>
  <c r="G75" i="26"/>
  <c r="S56" i="12" s="1"/>
  <c r="G69" i="26"/>
  <c r="S50" i="12" s="1"/>
  <c r="G56" i="26"/>
  <c r="G72" i="26"/>
  <c r="S53" i="12" s="1"/>
  <c r="AG25" i="12"/>
  <c r="H61" i="27"/>
  <c r="H63" i="28"/>
  <c r="AT44" i="12" s="1"/>
  <c r="AT153" i="12"/>
  <c r="AE113" i="12"/>
  <c r="AR113" i="12"/>
  <c r="AG77" i="12"/>
  <c r="AG88" i="12"/>
  <c r="AG140" i="12"/>
  <c r="T140" i="12"/>
  <c r="T88" i="12"/>
  <c r="AS107" i="12"/>
  <c r="S107" i="12"/>
  <c r="AF107" i="12"/>
  <c r="AF109" i="12"/>
  <c r="S109" i="12"/>
  <c r="AS109" i="12"/>
  <c r="S110" i="12"/>
  <c r="AS110" i="12"/>
  <c r="AF110" i="12"/>
  <c r="AS64" i="12"/>
  <c r="AF64" i="12"/>
  <c r="S64" i="12"/>
  <c r="AH118" i="12"/>
  <c r="BG140" i="12"/>
  <c r="BH32" i="12"/>
  <c r="BH59" i="12"/>
  <c r="BH72" i="12"/>
  <c r="BH78" i="12"/>
  <c r="BH84" i="12"/>
  <c r="BH100" i="12"/>
  <c r="BH120" i="12"/>
  <c r="BH129" i="12"/>
  <c r="BH133" i="12"/>
  <c r="BH137" i="12"/>
  <c r="BH149" i="12"/>
  <c r="BH23" i="12"/>
  <c r="BH60" i="12"/>
  <c r="BH79" i="12"/>
  <c r="BH119" i="12"/>
  <c r="BH132" i="12"/>
  <c r="BH63" i="12"/>
  <c r="BH81" i="12"/>
  <c r="BH87" i="12"/>
  <c r="BH130" i="12"/>
  <c r="BH138" i="12"/>
  <c r="BH152" i="12"/>
  <c r="BH61" i="12"/>
  <c r="BH66" i="12"/>
  <c r="BH75" i="12"/>
  <c r="BH80" i="12"/>
  <c r="BH86" i="12"/>
  <c r="BH131" i="12"/>
  <c r="BH135" i="12"/>
  <c r="BH139" i="12"/>
  <c r="BH151" i="12"/>
  <c r="BH26" i="12"/>
  <c r="BH85" i="12"/>
  <c r="BH103" i="12"/>
  <c r="BH136" i="12"/>
  <c r="BH150" i="12"/>
  <c r="BH74" i="12"/>
  <c r="BH83" i="12"/>
  <c r="BH89" i="12"/>
  <c r="BH114" i="12"/>
  <c r="BH134" i="12"/>
  <c r="BH148" i="12"/>
  <c r="AU152" i="12"/>
  <c r="AU138" i="12"/>
  <c r="AU130" i="12"/>
  <c r="AU114" i="12"/>
  <c r="AU81" i="12"/>
  <c r="AU132" i="12"/>
  <c r="AU74" i="12"/>
  <c r="AU63" i="12"/>
  <c r="AU149" i="12"/>
  <c r="AU137" i="12"/>
  <c r="AU133" i="12"/>
  <c r="AU129" i="12"/>
  <c r="AU120" i="12"/>
  <c r="AU83" i="12"/>
  <c r="AU118" i="12"/>
  <c r="AU105" i="12"/>
  <c r="AU86" i="12"/>
  <c r="AU80" i="12"/>
  <c r="AU75" i="12"/>
  <c r="AU66" i="12"/>
  <c r="AU61" i="12"/>
  <c r="G56" i="28"/>
  <c r="AS37" i="12" s="1"/>
  <c r="G72" i="28"/>
  <c r="AS53" i="12" s="1"/>
  <c r="G69" i="28"/>
  <c r="AS50" i="12" s="1"/>
  <c r="G75" i="28"/>
  <c r="AS56" i="12" s="1"/>
  <c r="G72" i="27"/>
  <c r="AF53" i="12" s="1"/>
  <c r="G75" i="27"/>
  <c r="AF56" i="12" s="1"/>
  <c r="G69" i="27"/>
  <c r="AF50" i="12" s="1"/>
  <c r="G56" i="27"/>
  <c r="AF37" i="12" s="1"/>
  <c r="AG73" i="12"/>
  <c r="AT82" i="12"/>
  <c r="AT25" i="12"/>
  <c r="H61" i="28"/>
  <c r="AT73" i="12"/>
  <c r="AT77" i="12"/>
  <c r="R113" i="12"/>
  <c r="H63" i="27"/>
  <c r="AG44" i="12" s="1"/>
  <c r="T25" i="12"/>
  <c r="H60" i="26"/>
  <c r="BJ117" i="12"/>
  <c r="BJ127" i="12"/>
  <c r="BJ146" i="12"/>
  <c r="V68" i="12"/>
  <c r="V70" i="12"/>
  <c r="V104" i="12"/>
  <c r="V122" i="12"/>
  <c r="V124" i="12"/>
  <c r="V67" i="12"/>
  <c r="V91" i="12"/>
  <c r="V96" i="12"/>
  <c r="V99" i="12"/>
  <c r="V121" i="12"/>
  <c r="V101" i="12"/>
  <c r="V117" i="12"/>
  <c r="J184" i="32"/>
  <c r="J184" i="28"/>
  <c r="AV143" i="12" s="1"/>
  <c r="J184" i="30"/>
  <c r="J78" i="30" s="1"/>
  <c r="J184" i="27"/>
  <c r="J184" i="29"/>
  <c r="J184" i="26"/>
  <c r="BG88" i="12"/>
  <c r="BG82" i="12"/>
  <c r="AV90" i="12"/>
  <c r="AV92" i="12"/>
  <c r="AV95" i="12"/>
  <c r="AV97" i="12"/>
  <c r="AV104" i="12"/>
  <c r="AV70" i="12"/>
  <c r="AV124" i="12"/>
  <c r="AV127" i="12"/>
  <c r="AI69" i="12"/>
  <c r="AI70" i="12"/>
  <c r="AI90" i="12"/>
  <c r="AI92" i="12"/>
  <c r="AI99" i="12"/>
  <c r="AI101" i="12"/>
  <c r="AI116" i="12"/>
  <c r="AI123" i="12"/>
  <c r="AI93" i="12"/>
  <c r="AI124" i="12"/>
  <c r="AI126" i="12"/>
  <c r="AI145" i="12"/>
  <c r="AI115" i="12"/>
  <c r="AI122" i="12"/>
  <c r="BG25" i="12"/>
  <c r="H60" i="29"/>
  <c r="F100" i="33"/>
  <c r="M205" i="27"/>
  <c r="M29" i="4" s="1"/>
  <c r="BO169" i="12"/>
  <c r="BO171" i="12" s="1"/>
  <c r="M11" i="29"/>
  <c r="P7" i="28"/>
  <c r="N217" i="26"/>
  <c r="N205" i="26"/>
  <c r="N18" i="4" s="1"/>
  <c r="L218" i="30"/>
  <c r="O11" i="30"/>
  <c r="P7" i="30"/>
  <c r="M9" i="28"/>
  <c r="P7" i="27"/>
  <c r="H34" i="27"/>
  <c r="H34" i="26"/>
  <c r="X171" i="33"/>
  <c r="J181" i="32"/>
  <c r="L28" i="21"/>
  <c r="CB171" i="12"/>
  <c r="J17" i="28"/>
  <c r="L210" i="27"/>
  <c r="L46" i="27" s="1"/>
  <c r="L211" i="27"/>
  <c r="L209" i="27"/>
  <c r="L43" i="27" s="1"/>
  <c r="L215" i="27"/>
  <c r="L217" i="27"/>
  <c r="L214" i="27"/>
  <c r="L212" i="27"/>
  <c r="L216" i="27"/>
  <c r="L213" i="27"/>
  <c r="L211" i="28"/>
  <c r="L209" i="28"/>
  <c r="L215" i="28"/>
  <c r="L212" i="28"/>
  <c r="L217" i="28"/>
  <c r="L210" i="28"/>
  <c r="L46" i="28" s="1"/>
  <c r="L214" i="28"/>
  <c r="L213" i="28"/>
  <c r="L216" i="28"/>
  <c r="P189" i="32"/>
  <c r="P98" i="32" s="1"/>
  <c r="L214" i="32"/>
  <c r="L216" i="32"/>
  <c r="L213" i="32"/>
  <c r="L212" i="32"/>
  <c r="L215" i="32"/>
  <c r="L209" i="32"/>
  <c r="L211" i="32"/>
  <c r="L217" i="32"/>
  <c r="L210" i="32"/>
  <c r="M5" i="32"/>
  <c r="P203" i="26"/>
  <c r="O203" i="32"/>
  <c r="O197" i="26"/>
  <c r="O204" i="26" s="1"/>
  <c r="K218" i="27"/>
  <c r="K218" i="29"/>
  <c r="L215" i="29"/>
  <c r="L213" i="29"/>
  <c r="L211" i="29"/>
  <c r="L210" i="29"/>
  <c r="L46" i="29" s="1"/>
  <c r="L214" i="29"/>
  <c r="L212" i="29"/>
  <c r="L209" i="29"/>
  <c r="L216" i="29"/>
  <c r="L217" i="29"/>
  <c r="M5" i="29"/>
  <c r="P195" i="26"/>
  <c r="M214" i="30"/>
  <c r="M211" i="30"/>
  <c r="M213" i="30"/>
  <c r="M210" i="30"/>
  <c r="M46" i="30" s="1"/>
  <c r="M216" i="30"/>
  <c r="M212" i="30"/>
  <c r="M215" i="30"/>
  <c r="M209" i="30"/>
  <c r="M217" i="30"/>
  <c r="N5" i="30"/>
  <c r="N205" i="28"/>
  <c r="N40" i="4" s="1"/>
  <c r="N204" i="27"/>
  <c r="AM169" i="12" s="1"/>
  <c r="M27" i="21" s="1"/>
  <c r="O204" i="28"/>
  <c r="K181" i="26"/>
  <c r="K182" i="26" s="1"/>
  <c r="K218" i="28"/>
  <c r="J20" i="26"/>
  <c r="J17" i="26"/>
  <c r="J23" i="26" s="1"/>
  <c r="J83" i="26" s="1"/>
  <c r="U165" i="33"/>
  <c r="U166" i="33" s="1"/>
  <c r="O7" i="29"/>
  <c r="P6" i="29"/>
  <c r="C7" i="21" s="1"/>
  <c r="P10" i="29"/>
  <c r="O9" i="29"/>
  <c r="P8" i="29"/>
  <c r="P205" i="29"/>
  <c r="P51" i="4" s="1"/>
  <c r="BN171" i="12"/>
  <c r="P8" i="30"/>
  <c r="O9" i="30"/>
  <c r="M5" i="28"/>
  <c r="P202" i="28"/>
  <c r="O10" i="28"/>
  <c r="N11" i="28"/>
  <c r="K171" i="33"/>
  <c r="K24" i="21"/>
  <c r="P197" i="28"/>
  <c r="P203" i="28"/>
  <c r="BA170" i="12"/>
  <c r="AZ169" i="12"/>
  <c r="AN168" i="12"/>
  <c r="P10" i="27"/>
  <c r="O11" i="27"/>
  <c r="J36" i="21"/>
  <c r="P193" i="27"/>
  <c r="O202" i="27"/>
  <c r="AN170" i="12" s="1"/>
  <c r="P191" i="27"/>
  <c r="AL169" i="12"/>
  <c r="L169" i="12" s="1"/>
  <c r="P194" i="27"/>
  <c r="P195" i="27"/>
  <c r="N9" i="27"/>
  <c r="O8" i="27"/>
  <c r="M5" i="27"/>
  <c r="P192" i="27"/>
  <c r="P196" i="27"/>
  <c r="M11" i="32"/>
  <c r="L168" i="33"/>
  <c r="P4" i="26"/>
  <c r="C6" i="21" s="1"/>
  <c r="P7" i="26"/>
  <c r="O9" i="26"/>
  <c r="P8" i="26"/>
  <c r="P194" i="26"/>
  <c r="AA168" i="12"/>
  <c r="N11" i="26"/>
  <c r="O10" i="26"/>
  <c r="P196" i="26"/>
  <c r="P202" i="26"/>
  <c r="Z169" i="12"/>
  <c r="P196" i="32"/>
  <c r="P4" i="32"/>
  <c r="O7" i="32"/>
  <c r="M9" i="32"/>
  <c r="I18" i="26"/>
  <c r="I33" i="26" s="1"/>
  <c r="U15" i="12" s="1"/>
  <c r="L6" i="4"/>
  <c r="K7" i="4"/>
  <c r="K8" i="4" s="1"/>
  <c r="K184" i="34" s="1"/>
  <c r="M84" i="8"/>
  <c r="M86" i="8"/>
  <c r="M109" i="8"/>
  <c r="M83" i="8"/>
  <c r="M88" i="8"/>
  <c r="M85" i="8"/>
  <c r="N84" i="8"/>
  <c r="N86" i="8"/>
  <c r="N109" i="8"/>
  <c r="N83" i="8"/>
  <c r="N85" i="8"/>
  <c r="N88" i="8"/>
  <c r="M71" i="8"/>
  <c r="M160" i="8"/>
  <c r="M203" i="8"/>
  <c r="L111" i="8"/>
  <c r="L168" i="8" s="1"/>
  <c r="L169" i="8" s="1"/>
  <c r="O109" i="8"/>
  <c r="O111" i="8" s="1"/>
  <c r="U7" i="12"/>
  <c r="J19" i="26"/>
  <c r="J19" i="27"/>
  <c r="J17" i="27"/>
  <c r="J180" i="32"/>
  <c r="I26" i="26"/>
  <c r="U8" i="12" s="1"/>
  <c r="U9" i="12"/>
  <c r="J20" i="27"/>
  <c r="J20" i="28"/>
  <c r="J19" i="28"/>
  <c r="L182" i="29"/>
  <c r="L113" i="29" s="1"/>
  <c r="K37" i="21"/>
  <c r="AX164" i="12"/>
  <c r="L180" i="28"/>
  <c r="M33" i="4"/>
  <c r="M34" i="4" s="1"/>
  <c r="AY166" i="12"/>
  <c r="L19" i="21" s="1"/>
  <c r="H17" i="32"/>
  <c r="H20" i="32"/>
  <c r="H19" i="32"/>
  <c r="L218" i="26"/>
  <c r="L185" i="32"/>
  <c r="L95" i="32" s="1"/>
  <c r="AK76" i="33" s="1"/>
  <c r="X164" i="12"/>
  <c r="L180" i="26"/>
  <c r="J35" i="21"/>
  <c r="K20" i="29"/>
  <c r="K17" i="29"/>
  <c r="K19" i="29"/>
  <c r="AJ165" i="12"/>
  <c r="J165" i="12" s="1"/>
  <c r="K181" i="27"/>
  <c r="K182" i="27" s="1"/>
  <c r="G26" i="32"/>
  <c r="G18" i="32"/>
  <c r="BM166" i="12"/>
  <c r="M20" i="21" s="1"/>
  <c r="BL164" i="12"/>
  <c r="N167" i="15"/>
  <c r="M180" i="29"/>
  <c r="M280" i="15"/>
  <c r="M408" i="15" s="1"/>
  <c r="M276" i="15"/>
  <c r="M404" i="15" s="1"/>
  <c r="M284" i="15"/>
  <c r="M412" i="15" s="1"/>
  <c r="CA166" i="12"/>
  <c r="N21" i="21" s="1"/>
  <c r="N39" i="21" s="1"/>
  <c r="H218" i="32"/>
  <c r="K36" i="21"/>
  <c r="M22" i="4"/>
  <c r="AL166" i="12"/>
  <c r="L18" i="21" s="1"/>
  <c r="V166" i="33"/>
  <c r="I165" i="33"/>
  <c r="I166" i="33" s="1"/>
  <c r="K182" i="28"/>
  <c r="K113" i="28" s="1"/>
  <c r="L34" i="4"/>
  <c r="M292" i="15"/>
  <c r="M420" i="15" s="1"/>
  <c r="M279" i="15"/>
  <c r="M407" i="15" s="1"/>
  <c r="M290" i="15"/>
  <c r="M418" i="15" s="1"/>
  <c r="M171" i="15"/>
  <c r="M275" i="15"/>
  <c r="M403" i="15" s="1"/>
  <c r="M283" i="15"/>
  <c r="M411" i="15" s="1"/>
  <c r="M182" i="30"/>
  <c r="M113" i="30" s="1"/>
  <c r="T166" i="33"/>
  <c r="G165" i="33"/>
  <c r="G166" i="33" s="1"/>
  <c r="K17" i="21"/>
  <c r="K16" i="21"/>
  <c r="L12" i="4"/>
  <c r="M11" i="4"/>
  <c r="Y166" i="12"/>
  <c r="J33" i="21"/>
  <c r="L38" i="21"/>
  <c r="BZ164" i="12"/>
  <c r="N180" i="30"/>
  <c r="I18" i="27"/>
  <c r="I33" i="27" s="1"/>
  <c r="AH15" i="12" s="1"/>
  <c r="AH7" i="12"/>
  <c r="AH12" i="12"/>
  <c r="I182" i="32"/>
  <c r="I113" i="32" s="1"/>
  <c r="AH93" i="33" s="1"/>
  <c r="AK165" i="12"/>
  <c r="L181" i="27"/>
  <c r="AK164" i="12"/>
  <c r="L180" i="27"/>
  <c r="AU12" i="12"/>
  <c r="AU7" i="12"/>
  <c r="AU9" i="12"/>
  <c r="I18" i="28"/>
  <c r="I33" i="28" s="1"/>
  <c r="AU15" i="12" s="1"/>
  <c r="AU8" i="12"/>
  <c r="J26" i="28" l="1"/>
  <c r="J23" i="28"/>
  <c r="I29" i="27"/>
  <c r="K136" i="27"/>
  <c r="K45" i="27"/>
  <c r="K47" i="27" s="1"/>
  <c r="K137" i="27"/>
  <c r="K42" i="27"/>
  <c r="K44" i="27" s="1"/>
  <c r="K48" i="27"/>
  <c r="K50" i="27" s="1"/>
  <c r="K113" i="27"/>
  <c r="J26" i="27"/>
  <c r="J29" i="27" s="1"/>
  <c r="J23" i="27"/>
  <c r="J83" i="27" s="1"/>
  <c r="AI34" i="12"/>
  <c r="N210" i="26"/>
  <c r="N46" i="26" s="1"/>
  <c r="N212" i="26"/>
  <c r="P197" i="32"/>
  <c r="K48" i="26"/>
  <c r="K50" i="26" s="1"/>
  <c r="K45" i="26"/>
  <c r="K47" i="26" s="1"/>
  <c r="K42" i="26"/>
  <c r="K44" i="26" s="1"/>
  <c r="K113" i="26"/>
  <c r="W93" i="12" s="1"/>
  <c r="G6" i="12"/>
  <c r="H23" i="32" s="1"/>
  <c r="H83" i="32" s="1"/>
  <c r="AG64" i="33" s="1"/>
  <c r="K67" i="32"/>
  <c r="AJ48" i="33" s="1"/>
  <c r="E53" i="33"/>
  <c r="E44" i="33"/>
  <c r="N205" i="32"/>
  <c r="N161" i="32" s="1"/>
  <c r="N164" i="32" s="1"/>
  <c r="AM144" i="33" s="1"/>
  <c r="F26" i="33"/>
  <c r="M125" i="32"/>
  <c r="M28" i="32" s="1"/>
  <c r="H93" i="33"/>
  <c r="L46" i="32"/>
  <c r="AK27" i="33" s="1"/>
  <c r="F23" i="33"/>
  <c r="E56" i="33"/>
  <c r="E43" i="33"/>
  <c r="E25" i="33"/>
  <c r="L49" i="32"/>
  <c r="AK30" i="33" s="1"/>
  <c r="E41" i="33"/>
  <c r="E50" i="33"/>
  <c r="K26" i="29"/>
  <c r="K29" i="29" s="1"/>
  <c r="K23" i="29"/>
  <c r="K83" i="29" s="1"/>
  <c r="M48" i="30"/>
  <c r="M50" i="30" s="1"/>
  <c r="M42" i="30"/>
  <c r="M44" i="30" s="1"/>
  <c r="M45" i="30"/>
  <c r="M47" i="30" s="1"/>
  <c r="AF28" i="33"/>
  <c r="G76" i="32"/>
  <c r="AF57" i="33" s="1"/>
  <c r="G70" i="32"/>
  <c r="AF51" i="33" s="1"/>
  <c r="G57" i="32"/>
  <c r="AF38" i="33" s="1"/>
  <c r="G73" i="32"/>
  <c r="AF54" i="33" s="1"/>
  <c r="I42" i="32"/>
  <c r="I48" i="32"/>
  <c r="I45" i="32"/>
  <c r="AF47" i="33"/>
  <c r="G68" i="32"/>
  <c r="AF41" i="33"/>
  <c r="G62" i="32"/>
  <c r="AF43" i="33" s="1"/>
  <c r="AF31" i="33"/>
  <c r="G55" i="32"/>
  <c r="AF36" i="33" s="1"/>
  <c r="G71" i="32"/>
  <c r="AF52" i="33" s="1"/>
  <c r="G74" i="32"/>
  <c r="AF55" i="33" s="1"/>
  <c r="G58" i="32"/>
  <c r="AF39" i="33" s="1"/>
  <c r="G77" i="32"/>
  <c r="AF58" i="33" s="1"/>
  <c r="H50" i="32"/>
  <c r="AG29" i="33"/>
  <c r="H66" i="32"/>
  <c r="AF25" i="33"/>
  <c r="F25" i="33" s="1"/>
  <c r="G75" i="32"/>
  <c r="AF56" i="33" s="1"/>
  <c r="G56" i="32"/>
  <c r="AF37" i="33" s="1"/>
  <c r="G69" i="32"/>
  <c r="AF50" i="33" s="1"/>
  <c r="G72" i="32"/>
  <c r="AF53" i="33" s="1"/>
  <c r="H47" i="32"/>
  <c r="AG26" i="33"/>
  <c r="H63" i="32"/>
  <c r="AF44" i="33"/>
  <c r="F44" i="33" s="1"/>
  <c r="G65" i="32"/>
  <c r="AF46" i="33" s="1"/>
  <c r="H44" i="32"/>
  <c r="H60" i="32"/>
  <c r="AG23" i="33"/>
  <c r="AE49" i="33"/>
  <c r="F81" i="32"/>
  <c r="AE62" i="33" s="1"/>
  <c r="K51" i="28"/>
  <c r="K136" i="28"/>
  <c r="K45" i="28"/>
  <c r="K47" i="28" s="1"/>
  <c r="K137" i="28"/>
  <c r="AW117" i="12" s="1"/>
  <c r="K42" i="28"/>
  <c r="K44" i="28" s="1"/>
  <c r="K48" i="28"/>
  <c r="K50" i="28" s="1"/>
  <c r="J29" i="28"/>
  <c r="M24" i="34"/>
  <c r="CL6" i="12" s="1"/>
  <c r="M83" i="34"/>
  <c r="I84" i="28"/>
  <c r="AU65" i="12" s="1"/>
  <c r="I24" i="28"/>
  <c r="AU6" i="12" s="1"/>
  <c r="I84" i="26"/>
  <c r="U65" i="12" s="1"/>
  <c r="I24" i="26"/>
  <c r="I84" i="27"/>
  <c r="I24" i="27"/>
  <c r="AH6" i="12" s="1"/>
  <c r="L42" i="29"/>
  <c r="L44" i="29" s="1"/>
  <c r="L45" i="29"/>
  <c r="L47" i="29" s="1"/>
  <c r="L48" i="29"/>
  <c r="L50" i="29" s="1"/>
  <c r="D49" i="12"/>
  <c r="Q49" i="33" s="1"/>
  <c r="D49" i="33" s="1"/>
  <c r="E177" i="32"/>
  <c r="AD157" i="33" s="1"/>
  <c r="AD162" i="33" s="1"/>
  <c r="AE159" i="33" s="1"/>
  <c r="J148" i="26"/>
  <c r="J92" i="26"/>
  <c r="K137" i="26"/>
  <c r="W117" i="12" s="1"/>
  <c r="K136" i="26"/>
  <c r="L136" i="29"/>
  <c r="BK116" i="12" s="1"/>
  <c r="L137" i="29"/>
  <c r="E6" i="33"/>
  <c r="AU5" i="12"/>
  <c r="J148" i="28"/>
  <c r="K138" i="29"/>
  <c r="BJ118" i="12" s="1"/>
  <c r="P72" i="15"/>
  <c r="BJ116" i="12"/>
  <c r="K145" i="29"/>
  <c r="BJ125" i="12" s="1"/>
  <c r="N40" i="21"/>
  <c r="L85" i="29"/>
  <c r="K148" i="29"/>
  <c r="BJ128" i="12" s="1"/>
  <c r="J108" i="28"/>
  <c r="J126" i="28"/>
  <c r="AV141" i="12"/>
  <c r="K82" i="28"/>
  <c r="J148" i="27"/>
  <c r="K125" i="26"/>
  <c r="J55" i="26"/>
  <c r="J101" i="26"/>
  <c r="J114" i="26"/>
  <c r="V94" i="12" s="1"/>
  <c r="J160" i="26"/>
  <c r="J118" i="26"/>
  <c r="V98" i="12" s="1"/>
  <c r="J173" i="26"/>
  <c r="H25" i="32"/>
  <c r="AG7" i="33" s="1"/>
  <c r="G7" i="33" s="1"/>
  <c r="H30" i="32"/>
  <c r="H27" i="32"/>
  <c r="AG9" i="33" s="1"/>
  <c r="G9" i="33" s="1"/>
  <c r="AF12" i="33"/>
  <c r="F12" i="33" s="1"/>
  <c r="G34" i="32"/>
  <c r="AF16" i="33" s="1"/>
  <c r="M161" i="30"/>
  <c r="M164" i="30" s="1"/>
  <c r="M136" i="30"/>
  <c r="M137" i="30"/>
  <c r="BY117" i="12" s="1"/>
  <c r="M169" i="12"/>
  <c r="Z169" i="33" s="1"/>
  <c r="M169" i="33" s="1"/>
  <c r="N170" i="12"/>
  <c r="AA170" i="33" s="1"/>
  <c r="N170" i="33" s="1"/>
  <c r="I55" i="28"/>
  <c r="U5" i="12"/>
  <c r="AH5" i="12"/>
  <c r="N145" i="15"/>
  <c r="N53" i="15"/>
  <c r="N146" i="15" s="1"/>
  <c r="O23" i="15"/>
  <c r="O25" i="15" s="1"/>
  <c r="N8" i="11"/>
  <c r="M84" i="34"/>
  <c r="CL65" i="12" s="1"/>
  <c r="CL5" i="12"/>
  <c r="O19" i="11"/>
  <c r="P29" i="14"/>
  <c r="P29" i="15"/>
  <c r="P29" i="8"/>
  <c r="I55" i="27"/>
  <c r="J138" i="27"/>
  <c r="J114" i="27"/>
  <c r="I111" i="32"/>
  <c r="I112" i="32"/>
  <c r="I110" i="32"/>
  <c r="K103" i="27"/>
  <c r="K112" i="27"/>
  <c r="AJ92" i="12" s="1"/>
  <c r="K110" i="27"/>
  <c r="AJ90" i="12" s="1"/>
  <c r="K82" i="27"/>
  <c r="K111" i="27"/>
  <c r="K117" i="27"/>
  <c r="AJ97" i="12" s="1"/>
  <c r="K169" i="27"/>
  <c r="K172" i="27"/>
  <c r="K115" i="27"/>
  <c r="K167" i="27"/>
  <c r="AJ147" i="12" s="1"/>
  <c r="K170" i="27"/>
  <c r="K165" i="27"/>
  <c r="K116" i="27"/>
  <c r="K168" i="27"/>
  <c r="K166" i="27"/>
  <c r="K151" i="27"/>
  <c r="K159" i="27"/>
  <c r="K154" i="27"/>
  <c r="K149" i="27"/>
  <c r="K157" i="27"/>
  <c r="K152" i="27"/>
  <c r="K155" i="27"/>
  <c r="K150" i="27"/>
  <c r="K158" i="27"/>
  <c r="K153" i="27"/>
  <c r="K139" i="27"/>
  <c r="K134" i="27"/>
  <c r="K142" i="27"/>
  <c r="K147" i="27"/>
  <c r="K171" i="27"/>
  <c r="K140" i="27"/>
  <c r="K156" i="27"/>
  <c r="K135" i="27"/>
  <c r="K143" i="27"/>
  <c r="AJ123" i="12" s="1"/>
  <c r="K144" i="27"/>
  <c r="K131" i="27"/>
  <c r="K129" i="27"/>
  <c r="K146" i="27"/>
  <c r="AJ126" i="12" s="1"/>
  <c r="K132" i="27"/>
  <c r="K127" i="27"/>
  <c r="K141" i="27"/>
  <c r="AJ121" i="12" s="1"/>
  <c r="K130" i="27"/>
  <c r="K128" i="27"/>
  <c r="K125" i="27"/>
  <c r="K28" i="27" s="1"/>
  <c r="K119" i="27"/>
  <c r="K91" i="27"/>
  <c r="K102" i="27"/>
  <c r="K123" i="27"/>
  <c r="K93" i="27"/>
  <c r="K99" i="27"/>
  <c r="K106" i="27"/>
  <c r="K120" i="27"/>
  <c r="K97" i="27"/>
  <c r="K104" i="27"/>
  <c r="K124" i="27"/>
  <c r="AJ104" i="12" s="1"/>
  <c r="K94" i="27"/>
  <c r="K100" i="27"/>
  <c r="K107" i="27"/>
  <c r="K121" i="27"/>
  <c r="K90" i="27"/>
  <c r="K122" i="27"/>
  <c r="K109" i="27"/>
  <c r="K105" i="27"/>
  <c r="K98" i="27"/>
  <c r="K79" i="27"/>
  <c r="K51" i="27"/>
  <c r="K87" i="27"/>
  <c r="K54" i="27"/>
  <c r="K89" i="27"/>
  <c r="K80" i="27"/>
  <c r="K85" i="27"/>
  <c r="K52" i="27"/>
  <c r="K88" i="27"/>
  <c r="AJ69" i="12" s="1"/>
  <c r="K78" i="27"/>
  <c r="K86" i="27"/>
  <c r="K53" i="27"/>
  <c r="N168" i="12"/>
  <c r="AA168" i="33" s="1"/>
  <c r="J126" i="27"/>
  <c r="J145" i="27"/>
  <c r="AI125" i="12" s="1"/>
  <c r="K92" i="29"/>
  <c r="K126" i="29"/>
  <c r="J173" i="28"/>
  <c r="AV9" i="12"/>
  <c r="J83" i="28"/>
  <c r="J108" i="27"/>
  <c r="H12" i="12"/>
  <c r="U12" i="33" s="1"/>
  <c r="K82" i="26"/>
  <c r="K111" i="26"/>
  <c r="K112" i="26"/>
  <c r="W92" i="12" s="1"/>
  <c r="K103" i="26"/>
  <c r="K110" i="26"/>
  <c r="K167" i="26"/>
  <c r="W147" i="12" s="1"/>
  <c r="K170" i="26"/>
  <c r="K116" i="26"/>
  <c r="K165" i="26"/>
  <c r="W145" i="12" s="1"/>
  <c r="K168" i="26"/>
  <c r="K171" i="26"/>
  <c r="K117" i="26"/>
  <c r="W97" i="12" s="1"/>
  <c r="K166" i="26"/>
  <c r="K115" i="26"/>
  <c r="W95" i="12" s="1"/>
  <c r="K172" i="26"/>
  <c r="K151" i="26"/>
  <c r="K149" i="26"/>
  <c r="K169" i="26"/>
  <c r="K156" i="26"/>
  <c r="K152" i="26"/>
  <c r="K159" i="26"/>
  <c r="K153" i="26"/>
  <c r="K154" i="26"/>
  <c r="K157" i="26"/>
  <c r="K150" i="26"/>
  <c r="K158" i="26"/>
  <c r="K135" i="26"/>
  <c r="W115" i="12" s="1"/>
  <c r="K141" i="26"/>
  <c r="W121" i="12" s="1"/>
  <c r="K144" i="26"/>
  <c r="K142" i="26"/>
  <c r="W122" i="12" s="1"/>
  <c r="K146" i="26"/>
  <c r="K155" i="26"/>
  <c r="K134" i="26"/>
  <c r="K128" i="26"/>
  <c r="K131" i="26"/>
  <c r="K147" i="26"/>
  <c r="W127" i="12" s="1"/>
  <c r="K129" i="26"/>
  <c r="K127" i="26"/>
  <c r="K132" i="26"/>
  <c r="K143" i="26"/>
  <c r="W123" i="12" s="1"/>
  <c r="K130" i="26"/>
  <c r="K28" i="26"/>
  <c r="K123" i="26"/>
  <c r="K120" i="26"/>
  <c r="K124" i="26"/>
  <c r="K121" i="26"/>
  <c r="W101" i="12" s="1"/>
  <c r="K98" i="26"/>
  <c r="K90" i="26"/>
  <c r="W71" i="12" s="1"/>
  <c r="K93" i="26"/>
  <c r="K122" i="26"/>
  <c r="K91" i="26"/>
  <c r="K54" i="26"/>
  <c r="K105" i="26"/>
  <c r="K102" i="26"/>
  <c r="K86" i="26"/>
  <c r="W67" i="12" s="1"/>
  <c r="K97" i="26"/>
  <c r="K106" i="26"/>
  <c r="K89" i="26"/>
  <c r="K52" i="26"/>
  <c r="K94" i="26"/>
  <c r="K99" i="26"/>
  <c r="K104" i="26"/>
  <c r="K109" i="26"/>
  <c r="K87" i="26"/>
  <c r="W68" i="12" s="1"/>
  <c r="K119" i="26"/>
  <c r="W99" i="12" s="1"/>
  <c r="K107" i="26"/>
  <c r="K53" i="26"/>
  <c r="K88" i="26"/>
  <c r="W69" i="12" s="1"/>
  <c r="K85" i="26"/>
  <c r="K100" i="26"/>
  <c r="K78" i="26"/>
  <c r="K79" i="26"/>
  <c r="K80" i="26"/>
  <c r="K139" i="26"/>
  <c r="K140" i="26"/>
  <c r="K51" i="26"/>
  <c r="J101" i="27"/>
  <c r="J118" i="27"/>
  <c r="AI98" i="12" s="1"/>
  <c r="K108" i="29"/>
  <c r="K118" i="29"/>
  <c r="BJ98" i="12" s="1"/>
  <c r="J160" i="28"/>
  <c r="J126" i="26"/>
  <c r="J95" i="27"/>
  <c r="AI76" i="12" s="1"/>
  <c r="J133" i="27"/>
  <c r="J173" i="27"/>
  <c r="K101" i="29"/>
  <c r="K133" i="29"/>
  <c r="K160" i="29"/>
  <c r="J145" i="28"/>
  <c r="AV125" i="12" s="1"/>
  <c r="J108" i="26"/>
  <c r="V95" i="12"/>
  <c r="I95" i="12" s="1"/>
  <c r="V95" i="33" s="1"/>
  <c r="I95" i="33" s="1"/>
  <c r="AI127" i="12"/>
  <c r="I127" i="12" s="1"/>
  <c r="V127" i="33" s="1"/>
  <c r="AV126" i="12"/>
  <c r="AV76" i="12"/>
  <c r="J160" i="27"/>
  <c r="K96" i="29"/>
  <c r="K114" i="29"/>
  <c r="BJ94" i="12" s="1"/>
  <c r="J92" i="28"/>
  <c r="J138" i="28"/>
  <c r="J118" i="28"/>
  <c r="J145" i="26"/>
  <c r="V125" i="12" s="1"/>
  <c r="J18" i="26"/>
  <c r="J96" i="28"/>
  <c r="AV101" i="12"/>
  <c r="V90" i="12"/>
  <c r="I90" i="12" s="1"/>
  <c r="V90" i="33" s="1"/>
  <c r="BJ76" i="12"/>
  <c r="K173" i="29"/>
  <c r="J55" i="28"/>
  <c r="J138" i="26"/>
  <c r="V118" i="12" s="1"/>
  <c r="L82" i="29"/>
  <c r="L111" i="29"/>
  <c r="BK91" i="12" s="1"/>
  <c r="L103" i="29"/>
  <c r="L110" i="29"/>
  <c r="BK90" i="12" s="1"/>
  <c r="L112" i="29"/>
  <c r="BK92" i="12" s="1"/>
  <c r="L169" i="29"/>
  <c r="L172" i="29"/>
  <c r="L167" i="29"/>
  <c r="BK147" i="12" s="1"/>
  <c r="L170" i="29"/>
  <c r="L165" i="29"/>
  <c r="BK145" i="12" s="1"/>
  <c r="L115" i="29"/>
  <c r="BK95" i="12" s="1"/>
  <c r="L168" i="29"/>
  <c r="L117" i="29"/>
  <c r="BK97" i="12" s="1"/>
  <c r="L166" i="29"/>
  <c r="BK146" i="12" s="1"/>
  <c r="L149" i="29"/>
  <c r="L157" i="29"/>
  <c r="L171" i="29"/>
  <c r="L152" i="29"/>
  <c r="L116" i="29"/>
  <c r="BK96" i="12" s="1"/>
  <c r="L155" i="29"/>
  <c r="L150" i="29"/>
  <c r="L153" i="29"/>
  <c r="L156" i="29"/>
  <c r="L151" i="29"/>
  <c r="L159" i="29"/>
  <c r="L154" i="29"/>
  <c r="L142" i="29"/>
  <c r="BK122" i="12" s="1"/>
  <c r="L135" i="29"/>
  <c r="BK115" i="12" s="1"/>
  <c r="L140" i="29"/>
  <c r="L141" i="29"/>
  <c r="BK121" i="12" s="1"/>
  <c r="L158" i="29"/>
  <c r="L139" i="29"/>
  <c r="L134" i="29"/>
  <c r="L132" i="29"/>
  <c r="L127" i="29"/>
  <c r="L130" i="29"/>
  <c r="L143" i="29"/>
  <c r="BK123" i="12" s="1"/>
  <c r="L144" i="29"/>
  <c r="BK124" i="12" s="1"/>
  <c r="L146" i="29"/>
  <c r="L128" i="29"/>
  <c r="L131" i="29"/>
  <c r="L129" i="29"/>
  <c r="L147" i="29"/>
  <c r="BK127" i="12" s="1"/>
  <c r="L122" i="29"/>
  <c r="L125" i="29"/>
  <c r="L28" i="29" s="1"/>
  <c r="L121" i="29"/>
  <c r="BK101" i="12" s="1"/>
  <c r="L123" i="29"/>
  <c r="L119" i="29"/>
  <c r="BK99" i="12" s="1"/>
  <c r="L124" i="29"/>
  <c r="BK104" i="12" s="1"/>
  <c r="L98" i="29"/>
  <c r="L105" i="29"/>
  <c r="L90" i="29"/>
  <c r="BK71" i="12" s="1"/>
  <c r="L102" i="29"/>
  <c r="L93" i="29"/>
  <c r="L99" i="29"/>
  <c r="L106" i="29"/>
  <c r="BK93" i="12"/>
  <c r="L91" i="29"/>
  <c r="L109" i="29"/>
  <c r="L97" i="29"/>
  <c r="L104" i="29"/>
  <c r="L94" i="29"/>
  <c r="L79" i="29"/>
  <c r="L52" i="29"/>
  <c r="L100" i="29"/>
  <c r="L88" i="29"/>
  <c r="BK69" i="12" s="1"/>
  <c r="L80" i="29"/>
  <c r="L120" i="29"/>
  <c r="L86" i="29"/>
  <c r="BK67" i="12" s="1"/>
  <c r="L53" i="29"/>
  <c r="L78" i="29"/>
  <c r="L89" i="29"/>
  <c r="BK70" i="12" s="1"/>
  <c r="L107" i="29"/>
  <c r="L51" i="29"/>
  <c r="L87" i="29"/>
  <c r="BK68" i="12" s="1"/>
  <c r="L54" i="29"/>
  <c r="M82" i="30"/>
  <c r="M111" i="30"/>
  <c r="M110" i="30"/>
  <c r="M103" i="30"/>
  <c r="M112" i="30"/>
  <c r="M167" i="30"/>
  <c r="M170" i="30"/>
  <c r="M165" i="30"/>
  <c r="BY145" i="12" s="1"/>
  <c r="M168" i="30"/>
  <c r="M171" i="30"/>
  <c r="M115" i="30"/>
  <c r="M166" i="30"/>
  <c r="M117" i="30"/>
  <c r="BY97" i="12" s="1"/>
  <c r="M172" i="30"/>
  <c r="M151" i="30"/>
  <c r="M159" i="30"/>
  <c r="M154" i="30"/>
  <c r="M152" i="30"/>
  <c r="M155" i="30"/>
  <c r="M116" i="30"/>
  <c r="M150" i="30"/>
  <c r="M158" i="30"/>
  <c r="M157" i="30"/>
  <c r="M153" i="30"/>
  <c r="M156" i="30"/>
  <c r="M149" i="30"/>
  <c r="M135" i="30"/>
  <c r="BY115" i="12" s="1"/>
  <c r="M142" i="30"/>
  <c r="M140" i="30"/>
  <c r="M147" i="30"/>
  <c r="M129" i="30"/>
  <c r="M143" i="30"/>
  <c r="BY123" i="12" s="1"/>
  <c r="M127" i="30"/>
  <c r="M134" i="30"/>
  <c r="M141" i="30"/>
  <c r="M169" i="30"/>
  <c r="M144" i="30"/>
  <c r="BY124" i="12" s="1"/>
  <c r="M139" i="30"/>
  <c r="M146" i="30"/>
  <c r="BY126" i="12" s="1"/>
  <c r="M131" i="30"/>
  <c r="M132" i="30"/>
  <c r="M130" i="30"/>
  <c r="M128" i="30"/>
  <c r="M123" i="30"/>
  <c r="M121" i="30"/>
  <c r="BY101" i="12" s="1"/>
  <c r="M124" i="30"/>
  <c r="M119" i="30"/>
  <c r="BY99" i="12" s="1"/>
  <c r="M122" i="30"/>
  <c r="M125" i="30"/>
  <c r="M28" i="30" s="1"/>
  <c r="M120" i="30"/>
  <c r="M90" i="30"/>
  <c r="M98" i="30"/>
  <c r="M105" i="30"/>
  <c r="M91" i="30"/>
  <c r="M102" i="30"/>
  <c r="M93" i="30"/>
  <c r="M99" i="30"/>
  <c r="M106" i="30"/>
  <c r="M109" i="30"/>
  <c r="M97" i="30"/>
  <c r="M104" i="30"/>
  <c r="M94" i="30"/>
  <c r="M88" i="30"/>
  <c r="BY69" i="12" s="1"/>
  <c r="M51" i="30"/>
  <c r="M80" i="30"/>
  <c r="M54" i="30"/>
  <c r="M86" i="30"/>
  <c r="M100" i="30"/>
  <c r="M89" i="30"/>
  <c r="BY70" i="12" s="1"/>
  <c r="M52" i="30"/>
  <c r="M87" i="30"/>
  <c r="BY68" i="12" s="1"/>
  <c r="M107" i="30"/>
  <c r="M79" i="30"/>
  <c r="M53" i="30"/>
  <c r="M85" i="30"/>
  <c r="K111" i="28"/>
  <c r="K117" i="28"/>
  <c r="AW97" i="12" s="1"/>
  <c r="K103" i="28"/>
  <c r="K110" i="28"/>
  <c r="K141" i="28"/>
  <c r="AW121" i="12" s="1"/>
  <c r="K112" i="28"/>
  <c r="K168" i="28"/>
  <c r="K171" i="28"/>
  <c r="K166" i="28"/>
  <c r="AW146" i="12" s="1"/>
  <c r="K169" i="28"/>
  <c r="K172" i="28"/>
  <c r="K115" i="28"/>
  <c r="AW95" i="12" s="1"/>
  <c r="K167" i="28"/>
  <c r="AW147" i="12" s="1"/>
  <c r="K165" i="28"/>
  <c r="AW145" i="12" s="1"/>
  <c r="K153" i="28"/>
  <c r="K156" i="28"/>
  <c r="K151" i="28"/>
  <c r="K159" i="28"/>
  <c r="K116" i="28"/>
  <c r="K154" i="28"/>
  <c r="K149" i="28"/>
  <c r="K157" i="28"/>
  <c r="K152" i="28"/>
  <c r="K170" i="28"/>
  <c r="K155" i="28"/>
  <c r="K135" i="28"/>
  <c r="K147" i="28"/>
  <c r="AW127" i="12" s="1"/>
  <c r="K143" i="28"/>
  <c r="AW123" i="12" s="1"/>
  <c r="K150" i="28"/>
  <c r="K134" i="28"/>
  <c r="K144" i="28"/>
  <c r="K146" i="28"/>
  <c r="AW126" i="12" s="1"/>
  <c r="K142" i="28"/>
  <c r="AW122" i="12" s="1"/>
  <c r="K128" i="28"/>
  <c r="K131" i="28"/>
  <c r="K129" i="28"/>
  <c r="K158" i="28"/>
  <c r="K132" i="28"/>
  <c r="K127" i="28"/>
  <c r="K130" i="28"/>
  <c r="K120" i="28"/>
  <c r="K91" i="28"/>
  <c r="K124" i="28"/>
  <c r="AW104" i="12" s="1"/>
  <c r="K94" i="28"/>
  <c r="K97" i="28"/>
  <c r="K122" i="28"/>
  <c r="K121" i="28"/>
  <c r="K125" i="28"/>
  <c r="K28" i="28" s="1"/>
  <c r="K119" i="28"/>
  <c r="AW99" i="12" s="1"/>
  <c r="K90" i="28"/>
  <c r="AW71" i="12" s="1"/>
  <c r="K123" i="28"/>
  <c r="K107" i="28"/>
  <c r="K109" i="28"/>
  <c r="K105" i="28"/>
  <c r="K93" i="28"/>
  <c r="K98" i="28"/>
  <c r="K102" i="28"/>
  <c r="K106" i="28"/>
  <c r="AW93" i="12"/>
  <c r="K86" i="28"/>
  <c r="K52" i="28"/>
  <c r="K89" i="28"/>
  <c r="K104" i="28"/>
  <c r="K87" i="28"/>
  <c r="AW68" i="12" s="1"/>
  <c r="K53" i="28"/>
  <c r="K85" i="28"/>
  <c r="K99" i="28"/>
  <c r="K88" i="28"/>
  <c r="K54" i="28"/>
  <c r="K78" i="28"/>
  <c r="K100" i="28"/>
  <c r="K79" i="28"/>
  <c r="K80" i="28"/>
  <c r="K140" i="28"/>
  <c r="K139" i="28"/>
  <c r="AI5" i="12"/>
  <c r="AI9" i="12"/>
  <c r="V126" i="12"/>
  <c r="J92" i="27"/>
  <c r="J101" i="28"/>
  <c r="J133" i="28"/>
  <c r="J114" i="28"/>
  <c r="AV94" i="12" s="1"/>
  <c r="J95" i="26"/>
  <c r="J96" i="26" s="1"/>
  <c r="J133" i="26"/>
  <c r="O205" i="28"/>
  <c r="O40" i="4" s="1"/>
  <c r="BS49" i="12"/>
  <c r="G81" i="30"/>
  <c r="BS62" i="12" s="1"/>
  <c r="CG49" i="12"/>
  <c r="H81" i="34"/>
  <c r="CG62" i="12" s="1"/>
  <c r="S37" i="12"/>
  <c r="AF8" i="33"/>
  <c r="F8" i="33" s="1"/>
  <c r="G29" i="32"/>
  <c r="G24" i="32"/>
  <c r="AF6" i="33" s="1"/>
  <c r="AF5" i="33"/>
  <c r="F5" i="33" s="1"/>
  <c r="G84" i="32"/>
  <c r="AF65" i="33" s="1"/>
  <c r="AJ106" i="33"/>
  <c r="AJ10" i="33"/>
  <c r="O18" i="11"/>
  <c r="CN8" i="12"/>
  <c r="CN9" i="12"/>
  <c r="P28" i="14"/>
  <c r="P28" i="15"/>
  <c r="P28" i="8"/>
  <c r="H118" i="12"/>
  <c r="U118" i="33" s="1"/>
  <c r="H98" i="12"/>
  <c r="I117" i="12"/>
  <c r="V117" i="33" s="1"/>
  <c r="I116" i="12"/>
  <c r="V116" i="33" s="1"/>
  <c r="L166" i="12"/>
  <c r="G65" i="12"/>
  <c r="F16" i="12"/>
  <c r="S16" i="33" s="1"/>
  <c r="E107" i="12"/>
  <c r="R107" i="33" s="1"/>
  <c r="E107" i="33" s="1"/>
  <c r="H9" i="12"/>
  <c r="U9" i="33" s="1"/>
  <c r="H128" i="12"/>
  <c r="U128" i="33" s="1"/>
  <c r="H15" i="12"/>
  <c r="U15" i="33" s="1"/>
  <c r="I68" i="12"/>
  <c r="V68" i="33" s="1"/>
  <c r="I68" i="33" s="1"/>
  <c r="E37" i="12"/>
  <c r="R37" i="33" s="1"/>
  <c r="E37" i="33" s="1"/>
  <c r="G140" i="12"/>
  <c r="D10" i="12"/>
  <c r="N216" i="26"/>
  <c r="N209" i="26"/>
  <c r="N213" i="26"/>
  <c r="N215" i="26"/>
  <c r="N211" i="26"/>
  <c r="O5" i="26"/>
  <c r="O215" i="26" s="1"/>
  <c r="I60" i="26"/>
  <c r="U41" i="12" s="1"/>
  <c r="BT106" i="12"/>
  <c r="BR11" i="12"/>
  <c r="F39" i="30"/>
  <c r="BQ62" i="12"/>
  <c r="E176" i="30"/>
  <c r="BQ156" i="12" s="1"/>
  <c r="D75" i="21" s="1"/>
  <c r="D66" i="21" s="1"/>
  <c r="BT25" i="12"/>
  <c r="G25" i="12" s="1"/>
  <c r="T25" i="33" s="1"/>
  <c r="H75" i="30"/>
  <c r="BT56" i="12" s="1"/>
  <c r="H72" i="30"/>
  <c r="BT53" i="12" s="1"/>
  <c r="H56" i="30"/>
  <c r="H69" i="30"/>
  <c r="BT50" i="12" s="1"/>
  <c r="D37" i="12"/>
  <c r="Q37" i="33" s="1"/>
  <c r="D37" i="33" s="1"/>
  <c r="BR62" i="12"/>
  <c r="F176" i="30"/>
  <c r="BR156" i="12" s="1"/>
  <c r="E75" i="21" s="1"/>
  <c r="E66" i="21" s="1"/>
  <c r="BT41" i="12"/>
  <c r="H62" i="30"/>
  <c r="BT43" i="12" s="1"/>
  <c r="CG111" i="12"/>
  <c r="BT111" i="12"/>
  <c r="CH36" i="12"/>
  <c r="H76" i="30"/>
  <c r="BT57" i="12" s="1"/>
  <c r="H57" i="30"/>
  <c r="BT38" i="12" s="1"/>
  <c r="H70" i="30"/>
  <c r="BT51" i="12" s="1"/>
  <c r="H73" i="30"/>
  <c r="BT54" i="12" s="1"/>
  <c r="BT28" i="12"/>
  <c r="CG109" i="12"/>
  <c r="BT109" i="12"/>
  <c r="BT44" i="12"/>
  <c r="G44" i="12" s="1"/>
  <c r="T44" i="33" s="1"/>
  <c r="H65" i="30"/>
  <c r="BT46" i="12" s="1"/>
  <c r="CG112" i="12"/>
  <c r="BT112" i="12"/>
  <c r="CG107" i="12"/>
  <c r="BQ11" i="12"/>
  <c r="E39" i="30"/>
  <c r="BS37" i="12"/>
  <c r="CG110" i="12"/>
  <c r="BT110" i="12"/>
  <c r="BT31" i="12"/>
  <c r="H77" i="30"/>
  <c r="BT58" i="12" s="1"/>
  <c r="H58" i="30"/>
  <c r="BT39" i="12" s="1"/>
  <c r="H71" i="30"/>
  <c r="BT52" i="12" s="1"/>
  <c r="H74" i="30"/>
  <c r="BT55" i="12" s="1"/>
  <c r="CG108" i="12"/>
  <c r="BT108" i="12"/>
  <c r="BT47" i="12"/>
  <c r="H68" i="30"/>
  <c r="BS10" i="12"/>
  <c r="BD11" i="12"/>
  <c r="E39" i="29"/>
  <c r="CI105" i="12"/>
  <c r="CG37" i="12"/>
  <c r="CI23" i="12"/>
  <c r="J60" i="34"/>
  <c r="J61" i="34"/>
  <c r="CI42" i="12" s="1"/>
  <c r="CI24" i="12"/>
  <c r="CI35" i="12"/>
  <c r="H39" i="34"/>
  <c r="CG21" i="12" s="1"/>
  <c r="G57" i="21" s="1"/>
  <c r="CG11" i="12"/>
  <c r="G23" i="12"/>
  <c r="T23" i="33" s="1"/>
  <c r="H142" i="12"/>
  <c r="U142" i="33" s="1"/>
  <c r="H142" i="33" s="1"/>
  <c r="CI32" i="12"/>
  <c r="J59" i="34"/>
  <c r="CI40" i="12" s="1"/>
  <c r="J63" i="34"/>
  <c r="CI26" i="12"/>
  <c r="CJ84" i="12"/>
  <c r="CJ87" i="12"/>
  <c r="CJ80" i="12"/>
  <c r="CJ34" i="12"/>
  <c r="CJ85" i="12"/>
  <c r="CJ72" i="12"/>
  <c r="CJ63" i="12"/>
  <c r="CJ89" i="12"/>
  <c r="CJ103" i="12"/>
  <c r="CJ83" i="12"/>
  <c r="CJ79" i="12"/>
  <c r="CJ134" i="12"/>
  <c r="CJ143" i="12"/>
  <c r="CJ132" i="12"/>
  <c r="CJ130" i="12"/>
  <c r="CJ152" i="12"/>
  <c r="CJ139" i="12"/>
  <c r="CJ150" i="12"/>
  <c r="CJ100" i="12"/>
  <c r="CJ137" i="12"/>
  <c r="CJ131" i="12"/>
  <c r="CJ114" i="12"/>
  <c r="CJ151" i="12"/>
  <c r="CJ135" i="12"/>
  <c r="CJ133" i="12"/>
  <c r="CJ142" i="12"/>
  <c r="CJ149" i="12"/>
  <c r="CJ138" i="12"/>
  <c r="CJ136" i="12"/>
  <c r="CJ81" i="12"/>
  <c r="CJ33" i="12"/>
  <c r="CJ60" i="12"/>
  <c r="CJ61" i="12"/>
  <c r="CJ59" i="12"/>
  <c r="CJ119" i="12"/>
  <c r="CJ120" i="12"/>
  <c r="CJ75" i="12"/>
  <c r="G32" i="12"/>
  <c r="T32" i="33" s="1"/>
  <c r="G32" i="33" s="1"/>
  <c r="BD62" i="12"/>
  <c r="E176" i="29"/>
  <c r="BD156" i="12" s="1"/>
  <c r="D74" i="21" s="1"/>
  <c r="CI144" i="12"/>
  <c r="CI141" i="12"/>
  <c r="CI129" i="12"/>
  <c r="CI140" i="12"/>
  <c r="CE113" i="12"/>
  <c r="F176" i="34"/>
  <c r="E39" i="34"/>
  <c r="CD11" i="12"/>
  <c r="CH25" i="12"/>
  <c r="I72" i="34"/>
  <c r="CH53" i="12" s="1"/>
  <c r="I69" i="34"/>
  <c r="CH50" i="12" s="1"/>
  <c r="I75" i="34"/>
  <c r="CH56" i="12" s="1"/>
  <c r="I56" i="34"/>
  <c r="CI74" i="12"/>
  <c r="CI77" i="12"/>
  <c r="CI66" i="12"/>
  <c r="CI73" i="12"/>
  <c r="H63" i="12"/>
  <c r="H129" i="12"/>
  <c r="U129" i="33" s="1"/>
  <c r="H129" i="33" s="1"/>
  <c r="H139" i="12"/>
  <c r="U139" i="33" s="1"/>
  <c r="H139" i="33" s="1"/>
  <c r="BE11" i="12"/>
  <c r="F39" i="29"/>
  <c r="I62" i="34"/>
  <c r="CH43" i="12" s="1"/>
  <c r="CH41" i="12"/>
  <c r="CI102" i="12"/>
  <c r="CI106" i="12"/>
  <c r="CI82" i="12"/>
  <c r="CI78" i="12"/>
  <c r="H84" i="12"/>
  <c r="G141" i="12"/>
  <c r="T141" i="33" s="1"/>
  <c r="G141" i="33" s="1"/>
  <c r="CH28" i="12"/>
  <c r="I57" i="34"/>
  <c r="CH38" i="12" s="1"/>
  <c r="I76" i="34"/>
  <c r="CH57" i="12" s="1"/>
  <c r="I73" i="34"/>
  <c r="CH54" i="12" s="1"/>
  <c r="I70" i="34"/>
  <c r="CH51" i="12" s="1"/>
  <c r="CH47" i="12"/>
  <c r="I68" i="34"/>
  <c r="CH49" i="12" s="1"/>
  <c r="CI148" i="12"/>
  <c r="CI153" i="12"/>
  <c r="BE113" i="12"/>
  <c r="E113" i="12" s="1"/>
  <c r="F176" i="29"/>
  <c r="BE156" i="12" s="1"/>
  <c r="E74" i="21" s="1"/>
  <c r="CH31" i="12"/>
  <c r="I71" i="34"/>
  <c r="CH52" i="12" s="1"/>
  <c r="I77" i="34"/>
  <c r="CH58" i="12" s="1"/>
  <c r="I74" i="34"/>
  <c r="I58" i="34"/>
  <c r="CH39" i="12" s="1"/>
  <c r="CI27" i="12"/>
  <c r="J64" i="34"/>
  <c r="CI45" i="12" s="1"/>
  <c r="CI86" i="12"/>
  <c r="CI88" i="12"/>
  <c r="J67" i="34"/>
  <c r="CI48" i="12" s="1"/>
  <c r="CI30" i="12"/>
  <c r="H34" i="12"/>
  <c r="U34" i="33" s="1"/>
  <c r="H34" i="33" s="1"/>
  <c r="CD62" i="12"/>
  <c r="E176" i="34"/>
  <c r="CD156" i="12" s="1"/>
  <c r="D76" i="21" s="1"/>
  <c r="CH44" i="12"/>
  <c r="I65" i="34"/>
  <c r="CH46" i="12" s="1"/>
  <c r="F39" i="34"/>
  <c r="CE21" i="12" s="1"/>
  <c r="E57" i="21" s="1"/>
  <c r="CE11" i="12"/>
  <c r="CI29" i="12"/>
  <c r="J66" i="34"/>
  <c r="H120" i="12"/>
  <c r="I69" i="12"/>
  <c r="V69" i="33" s="1"/>
  <c r="I69" i="33" s="1"/>
  <c r="I67" i="12"/>
  <c r="V67" i="33" s="1"/>
  <c r="F53" i="12"/>
  <c r="S53" i="33" s="1"/>
  <c r="H130" i="12"/>
  <c r="U130" i="33" s="1"/>
  <c r="H130" i="33" s="1"/>
  <c r="H60" i="12"/>
  <c r="U60" i="33" s="1"/>
  <c r="H60" i="33" s="1"/>
  <c r="G77" i="12"/>
  <c r="G82" i="12"/>
  <c r="G66" i="12"/>
  <c r="T66" i="33" s="1"/>
  <c r="G66" i="33" s="1"/>
  <c r="H7" i="12"/>
  <c r="I147" i="12"/>
  <c r="V147" i="33" s="1"/>
  <c r="I147" i="33" s="1"/>
  <c r="I146" i="12"/>
  <c r="V146" i="33" s="1"/>
  <c r="I92" i="12"/>
  <c r="V92" i="33" s="1"/>
  <c r="H138" i="12"/>
  <c r="U138" i="33" s="1"/>
  <c r="H138" i="33" s="1"/>
  <c r="H61" i="12"/>
  <c r="U61" i="33" s="1"/>
  <c r="H61" i="33" s="1"/>
  <c r="H72" i="12"/>
  <c r="U72" i="33" s="1"/>
  <c r="H72" i="33" s="1"/>
  <c r="H125" i="12"/>
  <c r="U125" i="33" s="1"/>
  <c r="G73" i="12"/>
  <c r="T73" i="33" s="1"/>
  <c r="H89" i="12"/>
  <c r="I145" i="12"/>
  <c r="V145" i="33" s="1"/>
  <c r="I121" i="12"/>
  <c r="F50" i="12"/>
  <c r="S50" i="33" s="1"/>
  <c r="H132" i="12"/>
  <c r="U132" i="33" s="1"/>
  <c r="H132" i="33" s="1"/>
  <c r="H79" i="12"/>
  <c r="U79" i="33" s="1"/>
  <c r="H79" i="33" s="1"/>
  <c r="H80" i="12"/>
  <c r="U80" i="33" s="1"/>
  <c r="H80" i="33" s="1"/>
  <c r="H148" i="12"/>
  <c r="U148" i="33" s="1"/>
  <c r="H148" i="33" s="1"/>
  <c r="F29" i="12"/>
  <c r="S29" i="33" s="1"/>
  <c r="F29" i="33" s="1"/>
  <c r="H35" i="12"/>
  <c r="U35" i="33" s="1"/>
  <c r="H35" i="33" s="1"/>
  <c r="H103" i="12"/>
  <c r="U103" i="33" s="1"/>
  <c r="H103" i="33" s="1"/>
  <c r="I96" i="12"/>
  <c r="V96" i="33" s="1"/>
  <c r="I96" i="33" s="1"/>
  <c r="H8" i="12"/>
  <c r="U8" i="33" s="1"/>
  <c r="I115" i="12"/>
  <c r="V115" i="33" s="1"/>
  <c r="I124" i="12"/>
  <c r="V124" i="33" s="1"/>
  <c r="I70" i="12"/>
  <c r="V70" i="33" s="1"/>
  <c r="I70" i="33" s="1"/>
  <c r="F56" i="12"/>
  <c r="S56" i="33" s="1"/>
  <c r="H136" i="12"/>
  <c r="U136" i="33" s="1"/>
  <c r="H136" i="33" s="1"/>
  <c r="H83" i="12"/>
  <c r="H151" i="12"/>
  <c r="U151" i="33" s="1"/>
  <c r="H151" i="33" s="1"/>
  <c r="H100" i="12"/>
  <c r="U100" i="33" s="1"/>
  <c r="H85" i="12"/>
  <c r="E28" i="12"/>
  <c r="R28" i="33" s="1"/>
  <c r="E28" i="33" s="1"/>
  <c r="G24" i="12"/>
  <c r="T24" i="33" s="1"/>
  <c r="G24" i="33" s="1"/>
  <c r="E102" i="12"/>
  <c r="R102" i="33" s="1"/>
  <c r="E102" i="33" s="1"/>
  <c r="H33" i="12"/>
  <c r="U33" i="33" s="1"/>
  <c r="H33" i="33" s="1"/>
  <c r="G144" i="12"/>
  <c r="H134" i="12"/>
  <c r="U134" i="33" s="1"/>
  <c r="H134" i="33" s="1"/>
  <c r="H127" i="12"/>
  <c r="U127" i="33" s="1"/>
  <c r="I123" i="12"/>
  <c r="V123" i="33" s="1"/>
  <c r="I99" i="12"/>
  <c r="I122" i="12"/>
  <c r="V122" i="33" s="1"/>
  <c r="G88" i="12"/>
  <c r="H59" i="12"/>
  <c r="U59" i="33" s="1"/>
  <c r="H59" i="33" s="1"/>
  <c r="H149" i="12"/>
  <c r="U149" i="33" s="1"/>
  <c r="H149" i="33" s="1"/>
  <c r="H114" i="12"/>
  <c r="H78" i="12"/>
  <c r="U78" i="33" s="1"/>
  <c r="H78" i="33" s="1"/>
  <c r="H131" i="12"/>
  <c r="U131" i="33" s="1"/>
  <c r="H131" i="33" s="1"/>
  <c r="H135" i="12"/>
  <c r="U135" i="33" s="1"/>
  <c r="H135" i="33" s="1"/>
  <c r="F43" i="12"/>
  <c r="S43" i="33" s="1"/>
  <c r="I101" i="12"/>
  <c r="V101" i="33" s="1"/>
  <c r="I101" i="33" s="1"/>
  <c r="I104" i="12"/>
  <c r="V104" i="33" s="1"/>
  <c r="I104" i="33" s="1"/>
  <c r="H94" i="12"/>
  <c r="U94" i="33" s="1"/>
  <c r="H75" i="12"/>
  <c r="U75" i="33" s="1"/>
  <c r="H75" i="33" s="1"/>
  <c r="H137" i="12"/>
  <c r="U137" i="33" s="1"/>
  <c r="H137" i="33" s="1"/>
  <c r="H133" i="12"/>
  <c r="U133" i="33" s="1"/>
  <c r="H133" i="33" s="1"/>
  <c r="H152" i="12"/>
  <c r="U152" i="33" s="1"/>
  <c r="H152" i="33" s="1"/>
  <c r="F27" i="12"/>
  <c r="S27" i="33" s="1"/>
  <c r="F27" i="33" s="1"/>
  <c r="T105" i="33"/>
  <c r="G105" i="33" s="1"/>
  <c r="F30" i="12"/>
  <c r="S30" i="33" s="1"/>
  <c r="F30" i="33" s="1"/>
  <c r="G40" i="12"/>
  <c r="T40" i="33" s="1"/>
  <c r="G40" i="33" s="1"/>
  <c r="T35" i="33"/>
  <c r="G35" i="33" s="1"/>
  <c r="I91" i="12"/>
  <c r="V91" i="33" s="1"/>
  <c r="K164" i="12"/>
  <c r="I93" i="12"/>
  <c r="V93" i="33" s="1"/>
  <c r="I71" i="12"/>
  <c r="V71" i="33" s="1"/>
  <c r="I71" i="33" s="1"/>
  <c r="I97" i="12"/>
  <c r="V97" i="33" s="1"/>
  <c r="I97" i="33" s="1"/>
  <c r="F109" i="12"/>
  <c r="S109" i="33" s="1"/>
  <c r="F109" i="33" s="1"/>
  <c r="H81" i="12"/>
  <c r="U81" i="33" s="1"/>
  <c r="H81" i="33" s="1"/>
  <c r="H119" i="12"/>
  <c r="H87" i="12"/>
  <c r="U87" i="33" s="1"/>
  <c r="H87" i="33" s="1"/>
  <c r="G153" i="12"/>
  <c r="T153" i="33" s="1"/>
  <c r="AE106" i="12"/>
  <c r="F48" i="12"/>
  <c r="S48" i="33" s="1"/>
  <c r="F48" i="33" s="1"/>
  <c r="F41" i="12"/>
  <c r="S41" i="33" s="1"/>
  <c r="G26" i="12"/>
  <c r="T26" i="33" s="1"/>
  <c r="F110" i="12"/>
  <c r="S110" i="33" s="1"/>
  <c r="F110" i="33" s="1"/>
  <c r="F112" i="12"/>
  <c r="S112" i="33" s="1"/>
  <c r="F112" i="33" s="1"/>
  <c r="F111" i="12"/>
  <c r="S111" i="33" s="1"/>
  <c r="F111" i="33" s="1"/>
  <c r="F64" i="12"/>
  <c r="F107" i="12"/>
  <c r="S107" i="33" s="1"/>
  <c r="F107" i="33" s="1"/>
  <c r="F108" i="12"/>
  <c r="S108" i="33" s="1"/>
  <c r="F108" i="33" s="1"/>
  <c r="M67" i="14"/>
  <c r="CG64" i="12"/>
  <c r="N69" i="8"/>
  <c r="N74" i="8"/>
  <c r="N73" i="8"/>
  <c r="N70" i="8"/>
  <c r="N72" i="8"/>
  <c r="Q66" i="15"/>
  <c r="Q72" i="15" s="1"/>
  <c r="O377" i="14"/>
  <c r="O367" i="14"/>
  <c r="O385" i="14"/>
  <c r="O437" i="14"/>
  <c r="O378" i="14"/>
  <c r="O417" i="14"/>
  <c r="O328" i="14"/>
  <c r="O343" i="14"/>
  <c r="O321" i="14"/>
  <c r="O412" i="14"/>
  <c r="O327" i="14"/>
  <c r="O399" i="14"/>
  <c r="O428" i="14"/>
  <c r="O383" i="14"/>
  <c r="O435" i="14"/>
  <c r="O386" i="14"/>
  <c r="O418" i="14"/>
  <c r="O421" i="14"/>
  <c r="O381" i="14"/>
  <c r="O353" i="14"/>
  <c r="O401" i="14"/>
  <c r="O389" i="14"/>
  <c r="O424" i="14"/>
  <c r="O372" i="14"/>
  <c r="O426" i="14"/>
  <c r="O355" i="14"/>
  <c r="O416" i="14"/>
  <c r="O419" i="14"/>
  <c r="O360" i="14"/>
  <c r="O370" i="14"/>
  <c r="O410" i="14"/>
  <c r="O362" i="14"/>
  <c r="O402" i="14"/>
  <c r="O330" i="14"/>
  <c r="O346" i="14"/>
  <c r="O342" i="14"/>
  <c r="O359" i="14"/>
  <c r="O438" i="14"/>
  <c r="O415" i="14"/>
  <c r="O374" i="14"/>
  <c r="O371" i="14"/>
  <c r="O350" i="14"/>
  <c r="O363" i="14"/>
  <c r="O335" i="14"/>
  <c r="O324" i="14"/>
  <c r="O375" i="14"/>
  <c r="O439" i="14"/>
  <c r="O396" i="14"/>
  <c r="O347" i="14"/>
  <c r="O373" i="14"/>
  <c r="O413" i="14"/>
  <c r="O334" i="14"/>
  <c r="O333" i="14"/>
  <c r="O351" i="14"/>
  <c r="O393" i="14"/>
  <c r="O427" i="14"/>
  <c r="O425" i="14"/>
  <c r="O368" i="14"/>
  <c r="O391" i="14"/>
  <c r="O366" i="14"/>
  <c r="O405" i="14"/>
  <c r="O357" i="14"/>
  <c r="O397" i="14"/>
  <c r="O340" i="14"/>
  <c r="O56" i="14" s="1"/>
  <c r="O60" i="14" s="1"/>
  <c r="O400" i="14"/>
  <c r="O339" i="14"/>
  <c r="O376" i="14"/>
  <c r="O387" i="14"/>
  <c r="O344" i="14"/>
  <c r="O382" i="14"/>
  <c r="O390" i="14"/>
  <c r="O349" i="14"/>
  <c r="O325" i="14"/>
  <c r="O348" i="14"/>
  <c r="O392" i="14"/>
  <c r="O336" i="14"/>
  <c r="O319" i="14"/>
  <c r="O369" i="14"/>
  <c r="O352" i="14"/>
  <c r="O318" i="14"/>
  <c r="O322" i="14"/>
  <c r="O345" i="14"/>
  <c r="O436" i="14"/>
  <c r="O356" i="14"/>
  <c r="O431" i="14"/>
  <c r="O429" i="14"/>
  <c r="O395" i="14"/>
  <c r="O411" i="14"/>
  <c r="O407" i="14"/>
  <c r="O414" i="14"/>
  <c r="O430" i="14"/>
  <c r="O341" i="14"/>
  <c r="O379" i="14"/>
  <c r="O380" i="14"/>
  <c r="O331" i="14"/>
  <c r="O384" i="14"/>
  <c r="O423" i="14"/>
  <c r="O433" i="14"/>
  <c r="O316" i="14"/>
  <c r="O406" i="14"/>
  <c r="O358" i="14"/>
  <c r="O338" i="14"/>
  <c r="O404" i="14"/>
  <c r="O364" i="14"/>
  <c r="O440" i="14"/>
  <c r="O365" i="14"/>
  <c r="O403" i="14"/>
  <c r="O408" i="14"/>
  <c r="O354" i="14"/>
  <c r="O409" i="14"/>
  <c r="O434" i="14"/>
  <c r="O388" i="14"/>
  <c r="O361" i="14"/>
  <c r="O394" i="14"/>
  <c r="O432" i="14"/>
  <c r="O398" i="14"/>
  <c r="O420" i="14"/>
  <c r="O329" i="14"/>
  <c r="O320" i="14"/>
  <c r="O317" i="14"/>
  <c r="O422" i="14"/>
  <c r="O326" i="14"/>
  <c r="O337" i="14"/>
  <c r="O323" i="14"/>
  <c r="O64" i="14" s="1"/>
  <c r="O332" i="14"/>
  <c r="O5" i="14"/>
  <c r="P73" i="15"/>
  <c r="N441" i="14"/>
  <c r="N67" i="8"/>
  <c r="O62" i="8"/>
  <c r="O66" i="8" s="1"/>
  <c r="P352" i="8"/>
  <c r="P406" i="8"/>
  <c r="P361" i="8"/>
  <c r="P335" i="8"/>
  <c r="P428" i="8"/>
  <c r="P354" i="8"/>
  <c r="P401" i="8"/>
  <c r="P423" i="8"/>
  <c r="P411" i="8"/>
  <c r="P380" i="8"/>
  <c r="P415" i="8"/>
  <c r="P429" i="8"/>
  <c r="P393" i="8"/>
  <c r="P437" i="8"/>
  <c r="P336" i="8"/>
  <c r="P455" i="8"/>
  <c r="P345" i="8"/>
  <c r="P453" i="8"/>
  <c r="P424" i="8"/>
  <c r="P416" i="8"/>
  <c r="P381" i="8"/>
  <c r="P452" i="8"/>
  <c r="P427" i="8"/>
  <c r="P392" i="8"/>
  <c r="P389" i="8"/>
  <c r="P441" i="8"/>
  <c r="P399" i="8"/>
  <c r="P410" i="8"/>
  <c r="P398" i="8"/>
  <c r="P426" i="8"/>
  <c r="P436" i="8"/>
  <c r="P403" i="8"/>
  <c r="P356" i="8"/>
  <c r="P366" i="8"/>
  <c r="P422" i="8"/>
  <c r="P396" i="8"/>
  <c r="P355" i="8"/>
  <c r="P457" i="8"/>
  <c r="P353" i="8"/>
  <c r="P391" i="8"/>
  <c r="P405" i="8"/>
  <c r="P341" i="8"/>
  <c r="P400" i="8"/>
  <c r="P456" i="8"/>
  <c r="P402" i="8"/>
  <c r="P365" i="8"/>
  <c r="P338" i="8"/>
  <c r="P412" i="8"/>
  <c r="P421" i="8"/>
  <c r="P385" i="8"/>
  <c r="P387" i="8"/>
  <c r="P375" i="8"/>
  <c r="P357" i="8"/>
  <c r="P339" i="8"/>
  <c r="P360" i="8"/>
  <c r="P451" i="8"/>
  <c r="P384" i="8"/>
  <c r="P419" i="8"/>
  <c r="P376" i="8"/>
  <c r="P440" i="8"/>
  <c r="P383" i="8"/>
  <c r="P408" i="8"/>
  <c r="P418" i="8"/>
  <c r="P438" i="8"/>
  <c r="P433" i="8"/>
  <c r="P420" i="8"/>
  <c r="P372" i="8"/>
  <c r="P414" i="8"/>
  <c r="P370" i="8"/>
  <c r="P458" i="8"/>
  <c r="P367" i="8"/>
  <c r="P348" i="8"/>
  <c r="P434" i="8"/>
  <c r="P443" i="8"/>
  <c r="P446" i="8"/>
  <c r="P442" i="8"/>
  <c r="P432" i="8"/>
  <c r="P449" i="8"/>
  <c r="P450" i="8"/>
  <c r="P413" i="8"/>
  <c r="P347" i="8"/>
  <c r="P395" i="8"/>
  <c r="P435" i="8"/>
  <c r="P371" i="8"/>
  <c r="P407" i="8"/>
  <c r="P394" i="8"/>
  <c r="P425" i="8"/>
  <c r="P447" i="8"/>
  <c r="P377" i="8"/>
  <c r="P397" i="8"/>
  <c r="P445" i="8"/>
  <c r="P431" i="8"/>
  <c r="P444" i="8"/>
  <c r="P404" i="8"/>
  <c r="P386" i="8"/>
  <c r="P390" i="8"/>
  <c r="P454" i="8"/>
  <c r="P351" i="8"/>
  <c r="P362" i="8"/>
  <c r="P430" i="8"/>
  <c r="P350" i="8"/>
  <c r="P342" i="8"/>
  <c r="P409" i="8"/>
  <c r="P448" i="8"/>
  <c r="P388" i="8"/>
  <c r="P417" i="8"/>
  <c r="P382" i="8"/>
  <c r="P344" i="8"/>
  <c r="P346" i="8"/>
  <c r="P337" i="8"/>
  <c r="P63" i="8" s="1"/>
  <c r="P439" i="8"/>
  <c r="P65" i="8" s="1"/>
  <c r="P42" i="8" s="1"/>
  <c r="P343" i="8"/>
  <c r="P340" i="8"/>
  <c r="P64" i="8" s="1"/>
  <c r="P349" i="8"/>
  <c r="P334" i="8"/>
  <c r="P379" i="8"/>
  <c r="P378" i="8"/>
  <c r="P358" i="8"/>
  <c r="P56" i="8" s="1"/>
  <c r="P60" i="8" s="1"/>
  <c r="P359" i="8"/>
  <c r="P374" i="8"/>
  <c r="P373" i="8"/>
  <c r="P368" i="8"/>
  <c r="P369" i="8"/>
  <c r="P364" i="8"/>
  <c r="P363" i="8"/>
  <c r="O459" i="8"/>
  <c r="O57" i="8" s="1"/>
  <c r="O58" i="8"/>
  <c r="Q4" i="8"/>
  <c r="P5" i="8"/>
  <c r="L70" i="14"/>
  <c r="L69" i="14"/>
  <c r="L74" i="14"/>
  <c r="L72" i="14"/>
  <c r="L73" i="14"/>
  <c r="L151" i="14"/>
  <c r="L152" i="14" s="1"/>
  <c r="O68" i="8"/>
  <c r="O75" i="8" s="1"/>
  <c r="M69" i="14"/>
  <c r="M74" i="14"/>
  <c r="N68" i="14"/>
  <c r="N75" i="14" s="1"/>
  <c r="O59" i="8"/>
  <c r="Q68" i="15"/>
  <c r="Q75" i="15" s="1"/>
  <c r="M68" i="14"/>
  <c r="M75" i="14" s="1"/>
  <c r="M73" i="14"/>
  <c r="M70" i="14"/>
  <c r="M72" i="14"/>
  <c r="P74" i="15"/>
  <c r="P67" i="15"/>
  <c r="P69" i="15"/>
  <c r="N62" i="14"/>
  <c r="N66" i="14" s="1"/>
  <c r="BF11" i="12"/>
  <c r="U121" i="33"/>
  <c r="H121" i="33" s="1"/>
  <c r="T98" i="33"/>
  <c r="G98" i="33" s="1"/>
  <c r="T85" i="33"/>
  <c r="G85" i="33" s="1"/>
  <c r="T89" i="33"/>
  <c r="G89" i="33" s="1"/>
  <c r="T83" i="33"/>
  <c r="G83" i="33" s="1"/>
  <c r="T84" i="33"/>
  <c r="G84" i="33" s="1"/>
  <c r="Q106" i="33"/>
  <c r="D106" i="33" s="1"/>
  <c r="AF94" i="33"/>
  <c r="F94" i="33" s="1"/>
  <c r="AG91" i="33"/>
  <c r="G91" i="33" s="1"/>
  <c r="AG92" i="33"/>
  <c r="G92" i="33" s="1"/>
  <c r="AG115" i="33"/>
  <c r="G115" i="33" s="1"/>
  <c r="AG112" i="33"/>
  <c r="AG108" i="33"/>
  <c r="AG126" i="33"/>
  <c r="G126" i="33" s="1"/>
  <c r="AG111" i="33"/>
  <c r="AG107" i="33"/>
  <c r="AG127" i="33"/>
  <c r="G127" i="33" s="1"/>
  <c r="AG122" i="33"/>
  <c r="G122" i="33" s="1"/>
  <c r="S88" i="33"/>
  <c r="F88" i="33" s="1"/>
  <c r="F39" i="28"/>
  <c r="AR21" i="12" s="1"/>
  <c r="AR10" i="12"/>
  <c r="AF20" i="33"/>
  <c r="F20" i="33" s="1"/>
  <c r="H38" i="32"/>
  <c r="AG17" i="33"/>
  <c r="G17" i="33" s="1"/>
  <c r="U99" i="33"/>
  <c r="H99" i="33" s="1"/>
  <c r="R64" i="33"/>
  <c r="E64" i="33" s="1"/>
  <c r="T114" i="33"/>
  <c r="G114" i="33" s="1"/>
  <c r="T63" i="33"/>
  <c r="G63" i="33" s="1"/>
  <c r="S140" i="33"/>
  <c r="F140" i="33" s="1"/>
  <c r="S77" i="33"/>
  <c r="F77" i="33" s="1"/>
  <c r="AG90" i="33"/>
  <c r="G90" i="33" s="1"/>
  <c r="AG117" i="33"/>
  <c r="G117" i="33" s="1"/>
  <c r="AG116" i="33"/>
  <c r="G116" i="33" s="1"/>
  <c r="AG110" i="33"/>
  <c r="AG145" i="33"/>
  <c r="G145" i="33" s="1"/>
  <c r="AG123" i="33"/>
  <c r="G123" i="33" s="1"/>
  <c r="AG109" i="33"/>
  <c r="AG146" i="33"/>
  <c r="G146" i="33" s="1"/>
  <c r="AG124" i="33"/>
  <c r="G124" i="33" s="1"/>
  <c r="AR106" i="12"/>
  <c r="S144" i="33"/>
  <c r="F144" i="33" s="1"/>
  <c r="AK105" i="33"/>
  <c r="BG10" i="12"/>
  <c r="AE11" i="33"/>
  <c r="F39" i="32"/>
  <c r="AE21" i="33" s="1"/>
  <c r="S6" i="33"/>
  <c r="S65" i="33"/>
  <c r="BU10" i="12"/>
  <c r="Q11" i="12"/>
  <c r="E39" i="26"/>
  <c r="Q21" i="12" s="1"/>
  <c r="T16" i="12"/>
  <c r="AG16" i="12"/>
  <c r="AD11" i="12"/>
  <c r="E39" i="27"/>
  <c r="AD21" i="12" s="1"/>
  <c r="D53" i="21" s="1"/>
  <c r="AO79" i="33"/>
  <c r="S82" i="33"/>
  <c r="F82" i="33" s="1"/>
  <c r="T120" i="33"/>
  <c r="G120" i="33" s="1"/>
  <c r="AK35" i="33"/>
  <c r="AK60" i="33"/>
  <c r="T119" i="33"/>
  <c r="G119" i="33" s="1"/>
  <c r="AK33" i="33"/>
  <c r="AK34" i="33"/>
  <c r="AK61" i="33"/>
  <c r="AK59" i="33"/>
  <c r="AO80" i="33"/>
  <c r="Q36" i="33"/>
  <c r="D36" i="33" s="1"/>
  <c r="D12" i="21" s="1"/>
  <c r="Q53" i="33"/>
  <c r="D53" i="33" s="1"/>
  <c r="Q46" i="33"/>
  <c r="D46" i="33" s="1"/>
  <c r="Q51" i="33"/>
  <c r="D51" i="33" s="1"/>
  <c r="Q39" i="33"/>
  <c r="D39" i="33" s="1"/>
  <c r="Q43" i="33"/>
  <c r="D43" i="33" s="1"/>
  <c r="Q54" i="33"/>
  <c r="D54" i="33" s="1"/>
  <c r="Q44" i="33"/>
  <c r="D44" i="33" s="1"/>
  <c r="Q58" i="33"/>
  <c r="D58" i="33" s="1"/>
  <c r="I61" i="27"/>
  <c r="AH42" i="12" s="1"/>
  <c r="Q50" i="33"/>
  <c r="D50" i="33" s="1"/>
  <c r="Q55" i="33"/>
  <c r="D55" i="33" s="1"/>
  <c r="Q57" i="33"/>
  <c r="D57" i="33" s="1"/>
  <c r="Q56" i="33"/>
  <c r="D56" i="33" s="1"/>
  <c r="Q52" i="33"/>
  <c r="D52" i="33" s="1"/>
  <c r="Q38" i="33"/>
  <c r="D38" i="33" s="1"/>
  <c r="Q47" i="33"/>
  <c r="D47" i="33" s="1"/>
  <c r="AV23" i="12"/>
  <c r="O204" i="32"/>
  <c r="AN169" i="33" s="1"/>
  <c r="AN171" i="33" s="1"/>
  <c r="F73" i="33"/>
  <c r="AH88" i="12"/>
  <c r="K64" i="32"/>
  <c r="R10" i="12"/>
  <c r="O29" i="21"/>
  <c r="BF113" i="12"/>
  <c r="U144" i="12"/>
  <c r="K185" i="28"/>
  <c r="L96" i="32"/>
  <c r="AK77" i="33" s="1"/>
  <c r="M141" i="32"/>
  <c r="AL121" i="33" s="1"/>
  <c r="M115" i="32"/>
  <c r="AL95" i="33" s="1"/>
  <c r="M120" i="32"/>
  <c r="AL100" i="33" s="1"/>
  <c r="M122" i="32"/>
  <c r="AL102" i="33" s="1"/>
  <c r="M124" i="32"/>
  <c r="AL104" i="33" s="1"/>
  <c r="M121" i="32"/>
  <c r="AL101" i="33" s="1"/>
  <c r="M134" i="32"/>
  <c r="AL114" i="33" s="1"/>
  <c r="M123" i="32"/>
  <c r="AL103" i="33" s="1"/>
  <c r="AL63" i="33"/>
  <c r="M109" i="32"/>
  <c r="AL89" i="33" s="1"/>
  <c r="M140" i="32"/>
  <c r="AL120" i="33" s="1"/>
  <c r="AF106" i="12"/>
  <c r="AF102" i="12"/>
  <c r="AH73" i="12"/>
  <c r="AH66" i="12"/>
  <c r="H66" i="12" s="1"/>
  <c r="AH153" i="12"/>
  <c r="AH150" i="12"/>
  <c r="F118" i="33"/>
  <c r="H92" i="32"/>
  <c r="AG73" i="33" s="1"/>
  <c r="G67" i="33"/>
  <c r="V142" i="12"/>
  <c r="V34" i="12"/>
  <c r="V35" i="12"/>
  <c r="P61" i="32"/>
  <c r="AO42" i="33" s="1"/>
  <c r="AI35" i="12"/>
  <c r="P101" i="32"/>
  <c r="AO82" i="33" s="1"/>
  <c r="M139" i="32"/>
  <c r="AL119" i="33" s="1"/>
  <c r="AV34" i="12"/>
  <c r="AV33" i="12"/>
  <c r="L118" i="32"/>
  <c r="AK98" i="33" s="1"/>
  <c r="L126" i="32"/>
  <c r="AI143" i="12"/>
  <c r="M185" i="30"/>
  <c r="M95" i="30" s="1"/>
  <c r="K185" i="27"/>
  <c r="M78" i="32"/>
  <c r="M79" i="32"/>
  <c r="M80" i="32"/>
  <c r="AH65" i="12"/>
  <c r="L185" i="29"/>
  <c r="BI142" i="12"/>
  <c r="BI143" i="12"/>
  <c r="BI34" i="12"/>
  <c r="BI35" i="12"/>
  <c r="BI33" i="12"/>
  <c r="BV142" i="12"/>
  <c r="BV143" i="12"/>
  <c r="BV35" i="12"/>
  <c r="BV34" i="12"/>
  <c r="BV33" i="12"/>
  <c r="AS106" i="12"/>
  <c r="AS102" i="12"/>
  <c r="F128" i="33"/>
  <c r="F125" i="33"/>
  <c r="V141" i="12"/>
  <c r="V143" i="12"/>
  <c r="V33" i="12"/>
  <c r="BT36" i="12"/>
  <c r="AI33" i="12"/>
  <c r="AU144" i="12"/>
  <c r="AU143" i="12"/>
  <c r="AH144" i="12"/>
  <c r="AH143" i="12"/>
  <c r="AV35" i="12"/>
  <c r="BH144" i="12"/>
  <c r="BH143" i="12"/>
  <c r="BU141" i="12"/>
  <c r="H141" i="12" s="1"/>
  <c r="BU144" i="12"/>
  <c r="S106" i="12"/>
  <c r="S102" i="12"/>
  <c r="U88" i="12"/>
  <c r="U86" i="12"/>
  <c r="Q62" i="12"/>
  <c r="E176" i="26"/>
  <c r="Q156" i="12" s="1"/>
  <c r="AD62" i="12"/>
  <c r="E176" i="27"/>
  <c r="AD156" i="12" s="1"/>
  <c r="D72" i="21" s="1"/>
  <c r="D63" i="21" s="1"/>
  <c r="H62" i="27"/>
  <c r="AG43" i="12" s="1"/>
  <c r="AG42" i="12"/>
  <c r="I69" i="27"/>
  <c r="AH50" i="12" s="1"/>
  <c r="AH23" i="12"/>
  <c r="H67" i="27"/>
  <c r="AG48" i="12" s="1"/>
  <c r="AG30" i="12"/>
  <c r="F65" i="27"/>
  <c r="AE46" i="12" s="1"/>
  <c r="AE45" i="12"/>
  <c r="F68" i="27"/>
  <c r="AE47" i="12"/>
  <c r="J61" i="26"/>
  <c r="V42" i="12" s="1"/>
  <c r="V24" i="12"/>
  <c r="H62" i="26"/>
  <c r="T43" i="12" s="1"/>
  <c r="T41" i="12"/>
  <c r="I59" i="26"/>
  <c r="U40" i="12" s="1"/>
  <c r="U32" i="12"/>
  <c r="F68" i="26"/>
  <c r="R49" i="12" s="1"/>
  <c r="R47" i="12"/>
  <c r="F65" i="26"/>
  <c r="R46" i="12" s="1"/>
  <c r="R45" i="12"/>
  <c r="I63" i="26"/>
  <c r="U44" i="12" s="1"/>
  <c r="U26" i="12"/>
  <c r="I61" i="26"/>
  <c r="U42" i="12" s="1"/>
  <c r="U24" i="12"/>
  <c r="R36" i="12"/>
  <c r="R31" i="12"/>
  <c r="H67" i="26"/>
  <c r="T48" i="12" s="1"/>
  <c r="T30" i="12"/>
  <c r="BU77" i="12"/>
  <c r="BU74" i="12"/>
  <c r="H74" i="12" s="1"/>
  <c r="AQ62" i="12"/>
  <c r="E176" i="28"/>
  <c r="AQ156" i="12" s="1"/>
  <c r="AQ157" i="12" s="1"/>
  <c r="AQ162" i="12" s="1"/>
  <c r="AR159" i="12" s="1"/>
  <c r="F65" i="28"/>
  <c r="AR46" i="12" s="1"/>
  <c r="AR45" i="12"/>
  <c r="F68" i="28"/>
  <c r="AR47" i="12"/>
  <c r="H67" i="28"/>
  <c r="AT48" i="12" s="1"/>
  <c r="AT30" i="12"/>
  <c r="H62" i="28"/>
  <c r="AT43" i="12" s="1"/>
  <c r="AT42" i="12"/>
  <c r="I63" i="28"/>
  <c r="AU44" i="12" s="1"/>
  <c r="AU26" i="12"/>
  <c r="AR31" i="12"/>
  <c r="AR36" i="12"/>
  <c r="L218" i="29"/>
  <c r="I61" i="30"/>
  <c r="BU42" i="12" s="1"/>
  <c r="BU24" i="12"/>
  <c r="H62" i="29"/>
  <c r="BG43" i="12" s="1"/>
  <c r="BG41" i="12"/>
  <c r="I61" i="29"/>
  <c r="BH42" i="12" s="1"/>
  <c r="BH24" i="12"/>
  <c r="H67" i="29"/>
  <c r="BG48" i="12" s="1"/>
  <c r="BG30" i="12"/>
  <c r="BH105" i="12"/>
  <c r="F55" i="21"/>
  <c r="F46" i="21" s="1"/>
  <c r="BU105" i="12"/>
  <c r="K185" i="26"/>
  <c r="K95" i="26" s="1"/>
  <c r="H138" i="32"/>
  <c r="AG118" i="33" s="1"/>
  <c r="G118" i="33" s="1"/>
  <c r="I143" i="32"/>
  <c r="I146" i="32"/>
  <c r="I165" i="32"/>
  <c r="I128" i="32"/>
  <c r="CH108" i="12" s="1"/>
  <c r="I130" i="32"/>
  <c r="I132" i="32"/>
  <c r="CH112" i="12" s="1"/>
  <c r="I142" i="32"/>
  <c r="I144" i="32"/>
  <c r="I147" i="32"/>
  <c r="I166" i="32"/>
  <c r="I127" i="32"/>
  <c r="I129" i="32"/>
  <c r="CH109" i="12" s="1"/>
  <c r="I131" i="32"/>
  <c r="I135" i="32"/>
  <c r="I137" i="32"/>
  <c r="I136" i="32"/>
  <c r="I86" i="32"/>
  <c r="AH67" i="33" s="1"/>
  <c r="H114" i="32"/>
  <c r="AG94" i="33" s="1"/>
  <c r="G94" i="33" s="1"/>
  <c r="H173" i="32"/>
  <c r="AG153" i="33" s="1"/>
  <c r="H133" i="32"/>
  <c r="AG113" i="33" s="1"/>
  <c r="H148" i="32"/>
  <c r="H145" i="32"/>
  <c r="AG125" i="33" s="1"/>
  <c r="G125" i="33" s="1"/>
  <c r="I59" i="30"/>
  <c r="BU40" i="12" s="1"/>
  <c r="I59" i="29"/>
  <c r="BH40" i="12" s="1"/>
  <c r="I59" i="28"/>
  <c r="AU40" i="12" s="1"/>
  <c r="I60" i="27"/>
  <c r="I59" i="27"/>
  <c r="AH40" i="12" s="1"/>
  <c r="AE36" i="12"/>
  <c r="L218" i="27"/>
  <c r="M52" i="32"/>
  <c r="M54" i="32"/>
  <c r="M53" i="32"/>
  <c r="F153" i="33"/>
  <c r="BU140" i="12"/>
  <c r="AU73" i="12"/>
  <c r="AH82" i="12"/>
  <c r="BU73" i="12"/>
  <c r="BH88" i="12"/>
  <c r="I72" i="26"/>
  <c r="U53" i="12" s="1"/>
  <c r="G64" i="27"/>
  <c r="AF28" i="12"/>
  <c r="G64" i="28"/>
  <c r="AS28" i="12"/>
  <c r="S31" i="12"/>
  <c r="G66" i="26"/>
  <c r="BF31" i="12"/>
  <c r="G66" i="29"/>
  <c r="AT27" i="12"/>
  <c r="AG27" i="12"/>
  <c r="T27" i="12"/>
  <c r="BG27" i="12"/>
  <c r="T29" i="12"/>
  <c r="AT29" i="12"/>
  <c r="BG29" i="12"/>
  <c r="AG29" i="12"/>
  <c r="F70" i="27"/>
  <c r="AE51" i="12" s="1"/>
  <c r="F76" i="27"/>
  <c r="AE57" i="12" s="1"/>
  <c r="F73" i="27"/>
  <c r="AE54" i="12" s="1"/>
  <c r="F57" i="27"/>
  <c r="AE38" i="12" s="1"/>
  <c r="F74" i="27"/>
  <c r="AE55" i="12" s="1"/>
  <c r="F77" i="27"/>
  <c r="AE58" i="12" s="1"/>
  <c r="F58" i="27"/>
  <c r="AE39" i="12" s="1"/>
  <c r="F71" i="27"/>
  <c r="AE52" i="12" s="1"/>
  <c r="F77" i="26"/>
  <c r="R58" i="12" s="1"/>
  <c r="F71" i="26"/>
  <c r="R52" i="12" s="1"/>
  <c r="F74" i="26"/>
  <c r="R55" i="12" s="1"/>
  <c r="F58" i="26"/>
  <c r="R39" i="12" s="1"/>
  <c r="G64" i="26"/>
  <c r="S28" i="12"/>
  <c r="G64" i="29"/>
  <c r="BF28" i="12"/>
  <c r="F70" i="28"/>
  <c r="AR51" i="12" s="1"/>
  <c r="F73" i="28"/>
  <c r="AR54" i="12" s="1"/>
  <c r="F57" i="28"/>
  <c r="AR38" i="12" s="1"/>
  <c r="F76" i="28"/>
  <c r="AR57" i="12" s="1"/>
  <c r="F70" i="26"/>
  <c r="R51" i="12" s="1"/>
  <c r="F76" i="26"/>
  <c r="R57" i="12" s="1"/>
  <c r="F73" i="26"/>
  <c r="R54" i="12" s="1"/>
  <c r="F57" i="26"/>
  <c r="F74" i="28"/>
  <c r="AR55" i="12" s="1"/>
  <c r="F58" i="28"/>
  <c r="AR39" i="12" s="1"/>
  <c r="F77" i="28"/>
  <c r="AR58" i="12" s="1"/>
  <c r="F71" i="28"/>
  <c r="AR52" i="12" s="1"/>
  <c r="G66" i="28"/>
  <c r="G66" i="27"/>
  <c r="AH77" i="12"/>
  <c r="AU140" i="12"/>
  <c r="BH153" i="12"/>
  <c r="I60" i="30"/>
  <c r="BU25" i="12"/>
  <c r="BU88" i="12"/>
  <c r="BU82" i="12"/>
  <c r="I63" i="30"/>
  <c r="BU44" i="12" s="1"/>
  <c r="BU153" i="12"/>
  <c r="BH77" i="12"/>
  <c r="BH73" i="12"/>
  <c r="U140" i="12"/>
  <c r="U153" i="12"/>
  <c r="U73" i="12"/>
  <c r="U82" i="12"/>
  <c r="U77" i="12"/>
  <c r="AH140" i="12"/>
  <c r="AI32" i="12"/>
  <c r="AV87" i="12"/>
  <c r="AI138" i="12"/>
  <c r="AI152" i="12"/>
  <c r="AI129" i="12"/>
  <c r="AI83" i="12"/>
  <c r="AI105" i="12"/>
  <c r="AV149" i="12"/>
  <c r="AV139" i="12"/>
  <c r="AV72" i="12"/>
  <c r="AV105" i="12"/>
  <c r="AV152" i="12"/>
  <c r="AV134" i="12"/>
  <c r="AV79" i="12"/>
  <c r="AV74" i="12"/>
  <c r="AV63" i="12"/>
  <c r="AI85" i="12"/>
  <c r="AI137" i="12"/>
  <c r="AI81" i="12"/>
  <c r="AV131" i="12"/>
  <c r="AV78" i="12"/>
  <c r="AV133" i="12"/>
  <c r="AV148" i="12"/>
  <c r="AV138" i="12"/>
  <c r="AV130" i="12"/>
  <c r="AV119" i="12"/>
  <c r="AV80" i="12"/>
  <c r="AV26" i="12"/>
  <c r="AV83" i="12"/>
  <c r="AU153" i="12"/>
  <c r="AI136" i="12"/>
  <c r="AI74" i="12"/>
  <c r="AI149" i="12"/>
  <c r="AI133" i="12"/>
  <c r="AI100" i="12"/>
  <c r="AI89" i="12"/>
  <c r="AI66" i="12"/>
  <c r="AI63" i="12"/>
  <c r="AV135" i="12"/>
  <c r="AV120" i="12"/>
  <c r="AV75" i="12"/>
  <c r="AV151" i="12"/>
  <c r="AV137" i="12"/>
  <c r="AV129" i="12"/>
  <c r="AV89" i="12"/>
  <c r="AV59" i="12"/>
  <c r="AV150" i="12"/>
  <c r="AV136" i="12"/>
  <c r="AV132" i="12"/>
  <c r="AV103" i="12"/>
  <c r="AV84" i="12"/>
  <c r="AV61" i="12"/>
  <c r="AV114" i="12"/>
  <c r="AV100" i="12"/>
  <c r="AV85" i="12"/>
  <c r="AV81" i="12"/>
  <c r="AV60" i="12"/>
  <c r="AV32" i="12"/>
  <c r="AI150" i="12"/>
  <c r="AI130" i="12"/>
  <c r="AI134" i="12"/>
  <c r="AI26" i="12"/>
  <c r="AI148" i="12"/>
  <c r="AI132" i="12"/>
  <c r="AI78" i="12"/>
  <c r="AI72" i="12"/>
  <c r="AI151" i="12"/>
  <c r="AI139" i="12"/>
  <c r="AI135" i="12"/>
  <c r="AI131" i="12"/>
  <c r="AI128" i="12"/>
  <c r="AI120" i="12"/>
  <c r="AI87" i="12"/>
  <c r="AI80" i="12"/>
  <c r="AI59" i="12"/>
  <c r="AI119" i="12"/>
  <c r="AI114" i="12"/>
  <c r="AI103" i="12"/>
  <c r="AI84" i="12"/>
  <c r="AI79" i="12"/>
  <c r="AI61" i="12"/>
  <c r="AI60" i="12"/>
  <c r="V132" i="12"/>
  <c r="V105" i="12"/>
  <c r="V75" i="12"/>
  <c r="V134" i="12"/>
  <c r="V63" i="12"/>
  <c r="V133" i="12"/>
  <c r="V86" i="12"/>
  <c r="V103" i="12"/>
  <c r="V84" i="12"/>
  <c r="V150" i="12"/>
  <c r="V137" i="12"/>
  <c r="V129" i="12"/>
  <c r="V120" i="12"/>
  <c r="V114" i="12"/>
  <c r="J33" i="26"/>
  <c r="V15" i="12" s="1"/>
  <c r="T5" i="33"/>
  <c r="BG112" i="12"/>
  <c r="AT112" i="12"/>
  <c r="T112" i="12"/>
  <c r="AG112" i="12"/>
  <c r="BG111" i="12"/>
  <c r="T111" i="12"/>
  <c r="AT111" i="12"/>
  <c r="AG111" i="12"/>
  <c r="BG107" i="12"/>
  <c r="AG107" i="12"/>
  <c r="AT107" i="12"/>
  <c r="T107" i="12"/>
  <c r="BG64" i="12"/>
  <c r="T64" i="12"/>
  <c r="AT64" i="12"/>
  <c r="AG64" i="12"/>
  <c r="BG110" i="12"/>
  <c r="T110" i="12"/>
  <c r="AG110" i="12"/>
  <c r="AT110" i="12"/>
  <c r="BG108" i="12"/>
  <c r="AG108" i="12"/>
  <c r="AT108" i="12"/>
  <c r="T108" i="12"/>
  <c r="BG109" i="12"/>
  <c r="AG109" i="12"/>
  <c r="T109" i="12"/>
  <c r="AT109" i="12"/>
  <c r="AI94" i="12"/>
  <c r="AV128" i="12"/>
  <c r="AV98" i="12"/>
  <c r="V149" i="12"/>
  <c r="V136" i="12"/>
  <c r="V119" i="12"/>
  <c r="V89" i="12"/>
  <c r="V81" i="12"/>
  <c r="V61" i="12"/>
  <c r="V151" i="12"/>
  <c r="V138" i="12"/>
  <c r="V130" i="12"/>
  <c r="V79" i="12"/>
  <c r="V59" i="12"/>
  <c r="V152" i="12"/>
  <c r="V148" i="12"/>
  <c r="V139" i="12"/>
  <c r="V135" i="12"/>
  <c r="V131" i="12"/>
  <c r="V87" i="12"/>
  <c r="V83" i="12"/>
  <c r="V78" i="12"/>
  <c r="V74" i="12"/>
  <c r="V66" i="12"/>
  <c r="V60" i="12"/>
  <c r="V26" i="12"/>
  <c r="H75" i="26"/>
  <c r="T56" i="12" s="1"/>
  <c r="H72" i="26"/>
  <c r="T53" i="12" s="1"/>
  <c r="H69" i="26"/>
  <c r="T50" i="12" s="1"/>
  <c r="H56" i="26"/>
  <c r="H56" i="28"/>
  <c r="AT37" i="12" s="1"/>
  <c r="H72" i="28"/>
  <c r="AT53" i="12" s="1"/>
  <c r="H75" i="28"/>
  <c r="AT56" i="12" s="1"/>
  <c r="H69" i="28"/>
  <c r="AT50" i="12" s="1"/>
  <c r="I60" i="29"/>
  <c r="BH25" i="12"/>
  <c r="BH140" i="12"/>
  <c r="H75" i="27"/>
  <c r="AG56" i="12" s="1"/>
  <c r="H72" i="27"/>
  <c r="AG53" i="12" s="1"/>
  <c r="H56" i="27"/>
  <c r="AG37" i="12" s="1"/>
  <c r="H69" i="27"/>
  <c r="AG50" i="12" s="1"/>
  <c r="AV118" i="12"/>
  <c r="BI63" i="12"/>
  <c r="BI81" i="12"/>
  <c r="BI85" i="12"/>
  <c r="BI89" i="12"/>
  <c r="BI103" i="12"/>
  <c r="BI132" i="12"/>
  <c r="BI136" i="12"/>
  <c r="BI150" i="12"/>
  <c r="BI61" i="12"/>
  <c r="BI86" i="12"/>
  <c r="BI120" i="12"/>
  <c r="BI133" i="12"/>
  <c r="BI72" i="12"/>
  <c r="BI78" i="12"/>
  <c r="BI131" i="12"/>
  <c r="BI139" i="12"/>
  <c r="BI149" i="12"/>
  <c r="BI23" i="12"/>
  <c r="BI60" i="12"/>
  <c r="BI74" i="12"/>
  <c r="BI79" i="12"/>
  <c r="BI83" i="12"/>
  <c r="BI87" i="12"/>
  <c r="BI114" i="12"/>
  <c r="BI119" i="12"/>
  <c r="BI130" i="12"/>
  <c r="BI134" i="12"/>
  <c r="BI138" i="12"/>
  <c r="BI148" i="12"/>
  <c r="BI152" i="12"/>
  <c r="BI32" i="12"/>
  <c r="BI66" i="12"/>
  <c r="BI80" i="12"/>
  <c r="BI100" i="12"/>
  <c r="BI129" i="12"/>
  <c r="BI137" i="12"/>
  <c r="BI151" i="12"/>
  <c r="BI59" i="12"/>
  <c r="BI75" i="12"/>
  <c r="BI84" i="12"/>
  <c r="BI135" i="12"/>
  <c r="V100" i="12"/>
  <c r="V85" i="12"/>
  <c r="V80" i="12"/>
  <c r="V72" i="12"/>
  <c r="I63" i="29"/>
  <c r="BH44" i="12" s="1"/>
  <c r="BH82" i="12"/>
  <c r="AU82" i="12"/>
  <c r="AU25" i="12"/>
  <c r="I60" i="28"/>
  <c r="BY67" i="12"/>
  <c r="BY71" i="12"/>
  <c r="BY90" i="12"/>
  <c r="BY92" i="12"/>
  <c r="BY146" i="12"/>
  <c r="BY91" i="12"/>
  <c r="BY93" i="12"/>
  <c r="BY96" i="12"/>
  <c r="BY104" i="12"/>
  <c r="BY116" i="12"/>
  <c r="BY127" i="12"/>
  <c r="BY122" i="12"/>
  <c r="BY147" i="12"/>
  <c r="AW70" i="12"/>
  <c r="AW91" i="12"/>
  <c r="AW101" i="12"/>
  <c r="AW67" i="12"/>
  <c r="AW92" i="12"/>
  <c r="AW124" i="12"/>
  <c r="AW69" i="12"/>
  <c r="AW116" i="12"/>
  <c r="AJ68" i="12"/>
  <c r="AJ70" i="12"/>
  <c r="AJ67" i="12"/>
  <c r="AJ71" i="12"/>
  <c r="AJ91" i="12"/>
  <c r="AJ93" i="12"/>
  <c r="AJ96" i="12"/>
  <c r="AJ115" i="12"/>
  <c r="AJ117" i="12"/>
  <c r="AJ122" i="12"/>
  <c r="AJ124" i="12"/>
  <c r="AJ95" i="12"/>
  <c r="AJ101" i="12"/>
  <c r="AJ127" i="12"/>
  <c r="AJ146" i="12"/>
  <c r="AJ99" i="12"/>
  <c r="AJ145" i="12"/>
  <c r="AJ116" i="12"/>
  <c r="W91" i="12"/>
  <c r="W126" i="12"/>
  <c r="W104" i="12"/>
  <c r="W116" i="12"/>
  <c r="W70" i="12"/>
  <c r="W90" i="12"/>
  <c r="W124" i="12"/>
  <c r="W146" i="12"/>
  <c r="AI118" i="12"/>
  <c r="V128" i="12"/>
  <c r="BK117" i="12"/>
  <c r="K184" i="27"/>
  <c r="K184" i="29"/>
  <c r="K184" i="26"/>
  <c r="K184" i="32"/>
  <c r="K184" i="28"/>
  <c r="AW142" i="12" s="1"/>
  <c r="K184" i="30"/>
  <c r="K78" i="30" s="1"/>
  <c r="H72" i="29"/>
  <c r="BG53" i="12" s="1"/>
  <c r="H56" i="29"/>
  <c r="BG37" i="12" s="1"/>
  <c r="H69" i="29"/>
  <c r="BG50" i="12" s="1"/>
  <c r="H75" i="29"/>
  <c r="BG56" i="12" s="1"/>
  <c r="BV24" i="12"/>
  <c r="BV60" i="12"/>
  <c r="BV75" i="12"/>
  <c r="BV59" i="12"/>
  <c r="BV80" i="12"/>
  <c r="BV85" i="12"/>
  <c r="BV89" i="12"/>
  <c r="BV100" i="12"/>
  <c r="BV114" i="12"/>
  <c r="BV120" i="12"/>
  <c r="BV129" i="12"/>
  <c r="BV133" i="12"/>
  <c r="BV137" i="12"/>
  <c r="BV151" i="12"/>
  <c r="BV66" i="12"/>
  <c r="BV74" i="12"/>
  <c r="BV81" i="12"/>
  <c r="BV86" i="12"/>
  <c r="BV136" i="12"/>
  <c r="BV103" i="12"/>
  <c r="BV119" i="12"/>
  <c r="BV134" i="12"/>
  <c r="BV152" i="12"/>
  <c r="BV26" i="12"/>
  <c r="BV32" i="12"/>
  <c r="BV63" i="12"/>
  <c r="BV72" i="12"/>
  <c r="BV78" i="12"/>
  <c r="BV83" i="12"/>
  <c r="BV87" i="12"/>
  <c r="BV131" i="12"/>
  <c r="BV135" i="12"/>
  <c r="BV139" i="12"/>
  <c r="BV149" i="12"/>
  <c r="BV61" i="12"/>
  <c r="BV79" i="12"/>
  <c r="BV84" i="12"/>
  <c r="BV132" i="12"/>
  <c r="BV150" i="12"/>
  <c r="BV130" i="12"/>
  <c r="BV138" i="12"/>
  <c r="BV148" i="12"/>
  <c r="AA169" i="12"/>
  <c r="N11" i="29"/>
  <c r="N205" i="27"/>
  <c r="N29" i="4" s="1"/>
  <c r="N9" i="28"/>
  <c r="P11" i="30"/>
  <c r="J18" i="28"/>
  <c r="J33" i="28" s="1"/>
  <c r="AV15" i="12" s="1"/>
  <c r="AV7" i="12"/>
  <c r="T12" i="33"/>
  <c r="O205" i="26"/>
  <c r="O18" i="4" s="1"/>
  <c r="U6" i="12"/>
  <c r="I34" i="26"/>
  <c r="J182" i="32"/>
  <c r="J113" i="32" s="1"/>
  <c r="AI93" i="33" s="1"/>
  <c r="AV8" i="12"/>
  <c r="AV12" i="12"/>
  <c r="V12" i="12"/>
  <c r="M216" i="32"/>
  <c r="M214" i="32"/>
  <c r="M213" i="32"/>
  <c r="M215" i="32"/>
  <c r="M209" i="32"/>
  <c r="M212" i="32"/>
  <c r="M211" i="32"/>
  <c r="M217" i="32"/>
  <c r="M210" i="32"/>
  <c r="N5" i="32"/>
  <c r="M210" i="27"/>
  <c r="M46" i="27" s="1"/>
  <c r="M211" i="27"/>
  <c r="M209" i="27"/>
  <c r="M43" i="27" s="1"/>
  <c r="M214" i="27"/>
  <c r="M216" i="27"/>
  <c r="M217" i="27"/>
  <c r="M215" i="27"/>
  <c r="M213" i="27"/>
  <c r="M212" i="27"/>
  <c r="P11" i="27"/>
  <c r="BA169" i="12"/>
  <c r="N28" i="21" s="1"/>
  <c r="M209" i="28"/>
  <c r="M211" i="28"/>
  <c r="M210" i="28"/>
  <c r="M46" i="28" s="1"/>
  <c r="M216" i="28"/>
  <c r="M212" i="28"/>
  <c r="M214" i="28"/>
  <c r="M213" i="28"/>
  <c r="M217" i="28"/>
  <c r="M215" i="28"/>
  <c r="M218" i="30"/>
  <c r="N215" i="30"/>
  <c r="N213" i="30"/>
  <c r="N210" i="30"/>
  <c r="N46" i="30" s="1"/>
  <c r="N212" i="30"/>
  <c r="N216" i="30"/>
  <c r="N211" i="30"/>
  <c r="N214" i="30"/>
  <c r="N209" i="30"/>
  <c r="N217" i="30"/>
  <c r="O5" i="30"/>
  <c r="M213" i="29"/>
  <c r="M215" i="29"/>
  <c r="M211" i="29"/>
  <c r="M212" i="29"/>
  <c r="M214" i="29"/>
  <c r="M210" i="29"/>
  <c r="M46" i="29" s="1"/>
  <c r="M216" i="29"/>
  <c r="M209" i="29"/>
  <c r="M217" i="29"/>
  <c r="N5" i="29"/>
  <c r="P203" i="32"/>
  <c r="H165" i="33"/>
  <c r="H166" i="33" s="1"/>
  <c r="L218" i="28"/>
  <c r="I34" i="27"/>
  <c r="J26" i="26"/>
  <c r="V8" i="12" s="1"/>
  <c r="V7" i="12"/>
  <c r="V9" i="12"/>
  <c r="AI12" i="12"/>
  <c r="AI7" i="12"/>
  <c r="L182" i="27"/>
  <c r="P9" i="29"/>
  <c r="P7" i="29"/>
  <c r="P9" i="30"/>
  <c r="AZ171" i="12"/>
  <c r="M28" i="21"/>
  <c r="O11" i="28"/>
  <c r="P10" i="28"/>
  <c r="BB170" i="12"/>
  <c r="P204" i="28"/>
  <c r="N5" i="28"/>
  <c r="N5" i="27"/>
  <c r="O9" i="27"/>
  <c r="P8" i="27"/>
  <c r="C8" i="21" s="1"/>
  <c r="Y169" i="33"/>
  <c r="L27" i="21"/>
  <c r="L24" i="21" s="1"/>
  <c r="AL171" i="12"/>
  <c r="L171" i="12" s="1"/>
  <c r="P202" i="27"/>
  <c r="P197" i="27"/>
  <c r="O204" i="27"/>
  <c r="AM171" i="12"/>
  <c r="N11" i="32"/>
  <c r="M168" i="33"/>
  <c r="M26" i="21"/>
  <c r="AB170" i="12"/>
  <c r="P197" i="26"/>
  <c r="P204" i="26" s="1"/>
  <c r="O11" i="26"/>
  <c r="P10" i="26"/>
  <c r="P9" i="26"/>
  <c r="Z171" i="12"/>
  <c r="N9" i="32"/>
  <c r="P7" i="32"/>
  <c r="J18" i="27"/>
  <c r="J33" i="27" s="1"/>
  <c r="AI15" i="12" s="1"/>
  <c r="AI8" i="12"/>
  <c r="M6" i="4"/>
  <c r="L7" i="4"/>
  <c r="L8" i="4" s="1"/>
  <c r="L184" i="34" s="1"/>
  <c r="N111" i="8"/>
  <c r="N168" i="8" s="1"/>
  <c r="N169" i="8" s="1"/>
  <c r="Q109" i="8"/>
  <c r="Q111" i="8" s="1"/>
  <c r="M111" i="8"/>
  <c r="M168" i="8" s="1"/>
  <c r="M169" i="8" s="1"/>
  <c r="P109" i="8"/>
  <c r="P111" i="8" s="1"/>
  <c r="G100" i="33"/>
  <c r="K20" i="26"/>
  <c r="K17" i="26"/>
  <c r="K23" i="26" s="1"/>
  <c r="K83" i="26" s="1"/>
  <c r="K19" i="26"/>
  <c r="L19" i="29"/>
  <c r="L20" i="29"/>
  <c r="L17" i="29"/>
  <c r="I17" i="32"/>
  <c r="I19" i="32"/>
  <c r="I20" i="32"/>
  <c r="K181" i="32"/>
  <c r="W165" i="33"/>
  <c r="L16" i="21"/>
  <c r="L17" i="21"/>
  <c r="Y164" i="12"/>
  <c r="M180" i="26"/>
  <c r="N11" i="4"/>
  <c r="Z166" i="12"/>
  <c r="K33" i="21"/>
  <c r="K180" i="32"/>
  <c r="W164" i="33"/>
  <c r="J164" i="33" s="1"/>
  <c r="AX165" i="12"/>
  <c r="L181" i="28"/>
  <c r="L182" i="28" s="1"/>
  <c r="L113" i="28" s="1"/>
  <c r="AL164" i="12"/>
  <c r="M180" i="27"/>
  <c r="CA164" i="12"/>
  <c r="O180" i="30"/>
  <c r="N292" i="15"/>
  <c r="N420" i="15" s="1"/>
  <c r="N290" i="15"/>
  <c r="N418" i="15" s="1"/>
  <c r="N275" i="15"/>
  <c r="N403" i="15" s="1"/>
  <c r="N279" i="15"/>
  <c r="N407" i="15" s="1"/>
  <c r="N283" i="15"/>
  <c r="N411" i="15" s="1"/>
  <c r="M38" i="21"/>
  <c r="BM164" i="12"/>
  <c r="N180" i="29"/>
  <c r="O167" i="15"/>
  <c r="BJ12" i="12"/>
  <c r="K18" i="29"/>
  <c r="K33" i="29" s="1"/>
  <c r="BJ15" i="12" s="1"/>
  <c r="BJ7" i="12"/>
  <c r="BJ9" i="12"/>
  <c r="BJ8" i="12"/>
  <c r="H26" i="32"/>
  <c r="H18" i="32"/>
  <c r="AY165" i="12"/>
  <c r="M181" i="28"/>
  <c r="N33" i="4"/>
  <c r="N34" i="4" s="1"/>
  <c r="AZ166" i="12"/>
  <c r="M19" i="21" s="1"/>
  <c r="I218" i="32"/>
  <c r="I34" i="28"/>
  <c r="M218" i="26"/>
  <c r="BZ165" i="12"/>
  <c r="N181" i="30"/>
  <c r="N182" i="30" s="1"/>
  <c r="N113" i="30" s="1"/>
  <c r="BL165" i="12"/>
  <c r="M181" i="29"/>
  <c r="M182" i="29" s="1"/>
  <c r="M113" i="29" s="1"/>
  <c r="N168" i="15"/>
  <c r="M185" i="32"/>
  <c r="M95" i="32" s="1"/>
  <c r="AL76" i="33" s="1"/>
  <c r="M12" i="4"/>
  <c r="X165" i="12"/>
  <c r="K165" i="12" s="1"/>
  <c r="L181" i="26"/>
  <c r="L182" i="26" s="1"/>
  <c r="K35" i="21"/>
  <c r="M17" i="30"/>
  <c r="M23" i="30" s="1"/>
  <c r="M83" i="30" s="1"/>
  <c r="M35" i="32" s="1"/>
  <c r="M20" i="30"/>
  <c r="M19" i="30"/>
  <c r="K20" i="28"/>
  <c r="K17" i="28"/>
  <c r="K19" i="28"/>
  <c r="K17" i="27"/>
  <c r="K20" i="27"/>
  <c r="K19" i="27"/>
  <c r="M23" i="4"/>
  <c r="N22" i="4"/>
  <c r="AM166" i="12"/>
  <c r="M18" i="21" s="1"/>
  <c r="CB166" i="12"/>
  <c r="O21" i="21" s="1"/>
  <c r="O39" i="21" s="1"/>
  <c r="BN166" i="12"/>
  <c r="N20" i="21" s="1"/>
  <c r="L37" i="21"/>
  <c r="AY164" i="12"/>
  <c r="M180" i="28"/>
  <c r="O216" i="26" l="1"/>
  <c r="O209" i="26"/>
  <c r="O213" i="26"/>
  <c r="O211" i="26"/>
  <c r="O212" i="26"/>
  <c r="O217" i="26"/>
  <c r="O214" i="26"/>
  <c r="P5" i="26"/>
  <c r="P214" i="26" s="1"/>
  <c r="O210" i="26"/>
  <c r="O46" i="26" s="1"/>
  <c r="K26" i="28"/>
  <c r="K23" i="28"/>
  <c r="K26" i="27"/>
  <c r="K29" i="27" s="1"/>
  <c r="K23" i="27"/>
  <c r="K83" i="27" s="1"/>
  <c r="L137" i="27"/>
  <c r="L42" i="27"/>
  <c r="L44" i="27" s="1"/>
  <c r="L48" i="27"/>
  <c r="L50" i="27" s="1"/>
  <c r="L45" i="27"/>
  <c r="L47" i="27" s="1"/>
  <c r="L136" i="27"/>
  <c r="L113" i="27"/>
  <c r="K118" i="27"/>
  <c r="W33" i="12"/>
  <c r="L48" i="26"/>
  <c r="L50" i="26" s="1"/>
  <c r="L42" i="26"/>
  <c r="L44" i="26" s="1"/>
  <c r="L45" i="26"/>
  <c r="L47" i="26" s="1"/>
  <c r="L113" i="26"/>
  <c r="X93" i="12" s="1"/>
  <c r="M25" i="21"/>
  <c r="L67" i="32"/>
  <c r="AK48" i="33" s="1"/>
  <c r="AM141" i="33"/>
  <c r="G26" i="33"/>
  <c r="F43" i="33"/>
  <c r="I93" i="33"/>
  <c r="F41" i="33"/>
  <c r="O205" i="32"/>
  <c r="N25" i="21" s="1"/>
  <c r="F50" i="33"/>
  <c r="F56" i="33"/>
  <c r="H6" i="12"/>
  <c r="I23" i="32" s="1"/>
  <c r="I83" i="32" s="1"/>
  <c r="AH64" i="33" s="1"/>
  <c r="G23" i="33"/>
  <c r="F53" i="33"/>
  <c r="M49" i="32"/>
  <c r="AL30" i="33" s="1"/>
  <c r="M46" i="32"/>
  <c r="AL27" i="33" s="1"/>
  <c r="L26" i="29"/>
  <c r="L23" i="29"/>
  <c r="L83" i="29" s="1"/>
  <c r="N45" i="30"/>
  <c r="N47" i="30" s="1"/>
  <c r="N48" i="30"/>
  <c r="N50" i="30" s="1"/>
  <c r="N42" i="30"/>
  <c r="N44" i="30" s="1"/>
  <c r="M84" i="30"/>
  <c r="I50" i="32"/>
  <c r="AH29" i="33"/>
  <c r="I66" i="32"/>
  <c r="K138" i="28"/>
  <c r="AG44" i="33"/>
  <c r="G44" i="33" s="1"/>
  <c r="H65" i="32"/>
  <c r="AG46" i="33" s="1"/>
  <c r="AG47" i="33"/>
  <c r="H68" i="32"/>
  <c r="I44" i="32"/>
  <c r="AH23" i="33"/>
  <c r="I60" i="32"/>
  <c r="AG28" i="33"/>
  <c r="H73" i="32"/>
  <c r="AG54" i="33" s="1"/>
  <c r="H76" i="32"/>
  <c r="AG57" i="33" s="1"/>
  <c r="H70" i="32"/>
  <c r="AG51" i="33" s="1"/>
  <c r="H57" i="32"/>
  <c r="AG38" i="33" s="1"/>
  <c r="AG31" i="33"/>
  <c r="H58" i="32"/>
  <c r="AG39" i="33" s="1"/>
  <c r="H74" i="32"/>
  <c r="AG55" i="33" s="1"/>
  <c r="H77" i="32"/>
  <c r="AG58" i="33" s="1"/>
  <c r="H55" i="32"/>
  <c r="AG36" i="33" s="1"/>
  <c r="H71" i="32"/>
  <c r="AG52" i="33" s="1"/>
  <c r="J48" i="32"/>
  <c r="J42" i="32"/>
  <c r="J45" i="32"/>
  <c r="AG41" i="33"/>
  <c r="H62" i="32"/>
  <c r="AG43" i="33" s="1"/>
  <c r="AF49" i="33"/>
  <c r="G81" i="32"/>
  <c r="AF62" i="33" s="1"/>
  <c r="AG25" i="33"/>
  <c r="G25" i="33" s="1"/>
  <c r="H56" i="32"/>
  <c r="AG37" i="33" s="1"/>
  <c r="H72" i="32"/>
  <c r="AG53" i="33" s="1"/>
  <c r="H75" i="32"/>
  <c r="AG56" i="33" s="1"/>
  <c r="H69" i="32"/>
  <c r="AG50" i="33" s="1"/>
  <c r="I47" i="32"/>
  <c r="AH26" i="33"/>
  <c r="I63" i="32"/>
  <c r="K29" i="28"/>
  <c r="L136" i="28"/>
  <c r="L45" i="28"/>
  <c r="L47" i="28" s="1"/>
  <c r="L137" i="28"/>
  <c r="L42" i="28"/>
  <c r="L44" i="28" s="1"/>
  <c r="L48" i="28"/>
  <c r="L50" i="28" s="1"/>
  <c r="N24" i="34"/>
  <c r="CM6" i="12" s="1"/>
  <c r="N83" i="34"/>
  <c r="J84" i="26"/>
  <c r="V65" i="12" s="1"/>
  <c r="J24" i="26"/>
  <c r="V6" i="12" s="1"/>
  <c r="J84" i="27"/>
  <c r="AI65" i="12" s="1"/>
  <c r="J24" i="27"/>
  <c r="AI6" i="12" s="1"/>
  <c r="J84" i="28"/>
  <c r="AV65" i="12" s="1"/>
  <c r="J24" i="28"/>
  <c r="AV6" i="12" s="1"/>
  <c r="K84" i="29"/>
  <c r="BJ65" i="12" s="1"/>
  <c r="K24" i="29"/>
  <c r="E177" i="29"/>
  <c r="L29" i="29"/>
  <c r="M48" i="29"/>
  <c r="M50" i="29" s="1"/>
  <c r="M42" i="29"/>
  <c r="M44" i="29" s="1"/>
  <c r="M45" i="29"/>
  <c r="M47" i="29" s="1"/>
  <c r="D88" i="21"/>
  <c r="L137" i="26"/>
  <c r="X117" i="12" s="1"/>
  <c r="L136" i="26"/>
  <c r="X116" i="12" s="1"/>
  <c r="K118" i="26"/>
  <c r="W98" i="12" s="1"/>
  <c r="I126" i="12"/>
  <c r="V126" i="33" s="1"/>
  <c r="K126" i="26"/>
  <c r="K133" i="26"/>
  <c r="C9" i="21"/>
  <c r="M136" i="29"/>
  <c r="BL116" i="12" s="1"/>
  <c r="M137" i="29"/>
  <c r="BL117" i="12" s="1"/>
  <c r="H5" i="12"/>
  <c r="U5" i="33" s="1"/>
  <c r="AW115" i="12"/>
  <c r="D79" i="21"/>
  <c r="D97" i="21" s="1"/>
  <c r="F16" i="33"/>
  <c r="D65" i="21"/>
  <c r="O40" i="21"/>
  <c r="M138" i="30"/>
  <c r="K55" i="29"/>
  <c r="M118" i="30"/>
  <c r="F6" i="33"/>
  <c r="M85" i="29"/>
  <c r="K118" i="28"/>
  <c r="L82" i="28"/>
  <c r="K114" i="28"/>
  <c r="AK116" i="12"/>
  <c r="K148" i="26"/>
  <c r="W128" i="12" s="1"/>
  <c r="L125" i="26"/>
  <c r="L28" i="26" s="1"/>
  <c r="F37" i="12"/>
  <c r="S37" i="33" s="1"/>
  <c r="F37" i="33" s="1"/>
  <c r="V5" i="12"/>
  <c r="W96" i="12"/>
  <c r="K92" i="26"/>
  <c r="N140" i="32"/>
  <c r="AM120" i="33" s="1"/>
  <c r="N82" i="32"/>
  <c r="O82" i="32" s="1"/>
  <c r="P82" i="32" s="1"/>
  <c r="N125" i="32"/>
  <c r="N28" i="32" s="1"/>
  <c r="M30" i="30"/>
  <c r="M26" i="30"/>
  <c r="M25" i="30"/>
  <c r="M27" i="30"/>
  <c r="N136" i="30"/>
  <c r="BZ116" i="12" s="1"/>
  <c r="N137" i="30"/>
  <c r="I30" i="32"/>
  <c r="AH12" i="33" s="1"/>
  <c r="H12" i="33" s="1"/>
  <c r="I25" i="32"/>
  <c r="AH7" i="33" s="1"/>
  <c r="I27" i="32"/>
  <c r="AH9" i="33" s="1"/>
  <c r="H9" i="33" s="1"/>
  <c r="AG12" i="33"/>
  <c r="G12" i="33" s="1"/>
  <c r="H34" i="32"/>
  <c r="AG16" i="33" s="1"/>
  <c r="J55" i="27"/>
  <c r="L101" i="29"/>
  <c r="F65" i="33"/>
  <c r="BJ5" i="12"/>
  <c r="O53" i="15"/>
  <c r="O145" i="15"/>
  <c r="N84" i="34"/>
  <c r="CM65" i="12" s="1"/>
  <c r="CM5" i="12"/>
  <c r="N152" i="15"/>
  <c r="O8" i="11"/>
  <c r="P23" i="15"/>
  <c r="P25" i="15" s="1"/>
  <c r="P19" i="11"/>
  <c r="Q29" i="14"/>
  <c r="Q29" i="8"/>
  <c r="Q29" i="15"/>
  <c r="K138" i="27"/>
  <c r="K160" i="27"/>
  <c r="K173" i="27"/>
  <c r="N82" i="30"/>
  <c r="N111" i="30"/>
  <c r="BZ91" i="12" s="1"/>
  <c r="N103" i="30"/>
  <c r="N112" i="30"/>
  <c r="BZ92" i="12" s="1"/>
  <c r="N110" i="30"/>
  <c r="N117" i="30"/>
  <c r="BZ97" i="12" s="1"/>
  <c r="N172" i="30"/>
  <c r="N167" i="30"/>
  <c r="BZ147" i="12" s="1"/>
  <c r="N170" i="30"/>
  <c r="N165" i="30"/>
  <c r="BZ145" i="12" s="1"/>
  <c r="N168" i="30"/>
  <c r="N171" i="30"/>
  <c r="N116" i="30"/>
  <c r="N169" i="30"/>
  <c r="N153" i="30"/>
  <c r="N156" i="30"/>
  <c r="N151" i="30"/>
  <c r="N159" i="30"/>
  <c r="N166" i="30"/>
  <c r="BZ146" i="12" s="1"/>
  <c r="N149" i="30"/>
  <c r="N157" i="30"/>
  <c r="N115" i="30"/>
  <c r="N152" i="30"/>
  <c r="N150" i="30"/>
  <c r="N154" i="30"/>
  <c r="N158" i="30"/>
  <c r="N139" i="30"/>
  <c r="N146" i="30"/>
  <c r="N128" i="30"/>
  <c r="N135" i="30"/>
  <c r="N142" i="30"/>
  <c r="N155" i="30"/>
  <c r="N140" i="30"/>
  <c r="N147" i="30"/>
  <c r="BZ127" i="12" s="1"/>
  <c r="N143" i="30"/>
  <c r="N127" i="30"/>
  <c r="N134" i="30"/>
  <c r="N141" i="30"/>
  <c r="N130" i="30"/>
  <c r="N129" i="30"/>
  <c r="N131" i="30"/>
  <c r="N132" i="30"/>
  <c r="N144" i="30"/>
  <c r="BZ124" i="12" s="1"/>
  <c r="N123" i="30"/>
  <c r="N121" i="30"/>
  <c r="N124" i="30"/>
  <c r="BZ104" i="12" s="1"/>
  <c r="N119" i="30"/>
  <c r="N122" i="30"/>
  <c r="N94" i="30"/>
  <c r="N100" i="30"/>
  <c r="N107" i="30"/>
  <c r="N90" i="30"/>
  <c r="BZ71" i="12" s="1"/>
  <c r="N98" i="30"/>
  <c r="N105" i="30"/>
  <c r="N120" i="30"/>
  <c r="N91" i="30"/>
  <c r="N102" i="30"/>
  <c r="N125" i="30"/>
  <c r="N28" i="30" s="1"/>
  <c r="N93" i="30"/>
  <c r="N99" i="30"/>
  <c r="N106" i="30"/>
  <c r="N109" i="30"/>
  <c r="N85" i="30"/>
  <c r="N88" i="30"/>
  <c r="BZ69" i="12" s="1"/>
  <c r="N51" i="30"/>
  <c r="N104" i="30"/>
  <c r="N80" i="30"/>
  <c r="N54" i="30"/>
  <c r="N97" i="30"/>
  <c r="N86" i="30"/>
  <c r="BZ67" i="12" s="1"/>
  <c r="N89" i="30"/>
  <c r="N52" i="30"/>
  <c r="N87" i="30"/>
  <c r="N53" i="30"/>
  <c r="N79" i="30"/>
  <c r="I9" i="12"/>
  <c r="V9" i="33" s="1"/>
  <c r="K92" i="28"/>
  <c r="K160" i="28"/>
  <c r="M96" i="30"/>
  <c r="M145" i="30"/>
  <c r="BY125" i="12" s="1"/>
  <c r="M173" i="30"/>
  <c r="L108" i="29"/>
  <c r="L145" i="29"/>
  <c r="BK125" i="12" s="1"/>
  <c r="L118" i="29"/>
  <c r="BK98" i="12" s="1"/>
  <c r="L114" i="29"/>
  <c r="BK94" i="12" s="1"/>
  <c r="J96" i="27"/>
  <c r="K138" i="26"/>
  <c r="W118" i="12" s="1"/>
  <c r="K173" i="26"/>
  <c r="K18" i="26"/>
  <c r="AW90" i="12"/>
  <c r="J90" i="12" s="1"/>
  <c r="W90" i="33" s="1"/>
  <c r="L51" i="28"/>
  <c r="K145" i="28"/>
  <c r="M133" i="30"/>
  <c r="M160" i="30"/>
  <c r="M114" i="30"/>
  <c r="BY94" i="12" s="1"/>
  <c r="L148" i="29"/>
  <c r="BK128" i="12" s="1"/>
  <c r="L138" i="29"/>
  <c r="BK118" i="12" s="1"/>
  <c r="L173" i="29"/>
  <c r="V76" i="12"/>
  <c r="I76" i="12" s="1"/>
  <c r="V76" i="33" s="1"/>
  <c r="I76" i="33" s="1"/>
  <c r="K92" i="27"/>
  <c r="K133" i="27"/>
  <c r="K114" i="27"/>
  <c r="AJ94" i="12" s="1"/>
  <c r="K83" i="28"/>
  <c r="K126" i="28"/>
  <c r="K133" i="28"/>
  <c r="K148" i="28"/>
  <c r="AW128" i="12" s="1"/>
  <c r="M108" i="30"/>
  <c r="M148" i="30"/>
  <c r="K101" i="27"/>
  <c r="K101" i="28"/>
  <c r="L95" i="29"/>
  <c r="BK76" i="12" s="1"/>
  <c r="L160" i="29"/>
  <c r="K101" i="26"/>
  <c r="K145" i="26"/>
  <c r="W125" i="12" s="1"/>
  <c r="K160" i="26"/>
  <c r="K95" i="27"/>
  <c r="AJ76" i="12" s="1"/>
  <c r="AJ35" i="12"/>
  <c r="L82" i="27"/>
  <c r="L111" i="27"/>
  <c r="L110" i="27"/>
  <c r="L103" i="27"/>
  <c r="L112" i="27"/>
  <c r="L166" i="27"/>
  <c r="AK146" i="12" s="1"/>
  <c r="L117" i="27"/>
  <c r="L169" i="27"/>
  <c r="L172" i="27"/>
  <c r="L115" i="27"/>
  <c r="L167" i="27"/>
  <c r="L170" i="27"/>
  <c r="L165" i="27"/>
  <c r="AK145" i="12" s="1"/>
  <c r="L171" i="27"/>
  <c r="L116" i="27"/>
  <c r="L156" i="27"/>
  <c r="L151" i="27"/>
  <c r="L159" i="27"/>
  <c r="L154" i="27"/>
  <c r="L168" i="27"/>
  <c r="L149" i="27"/>
  <c r="L157" i="27"/>
  <c r="L152" i="27"/>
  <c r="L155" i="27"/>
  <c r="L150" i="27"/>
  <c r="L158" i="27"/>
  <c r="L153" i="27"/>
  <c r="L144" i="27"/>
  <c r="L139" i="27"/>
  <c r="L134" i="27"/>
  <c r="L142" i="27"/>
  <c r="L147" i="27"/>
  <c r="L140" i="27"/>
  <c r="L135" i="27"/>
  <c r="L143" i="27"/>
  <c r="L141" i="27"/>
  <c r="AK121" i="12" s="1"/>
  <c r="L146" i="27"/>
  <c r="AK126" i="12" s="1"/>
  <c r="L128" i="27"/>
  <c r="L131" i="27"/>
  <c r="L129" i="27"/>
  <c r="L132" i="27"/>
  <c r="L127" i="27"/>
  <c r="L130" i="27"/>
  <c r="L122" i="27"/>
  <c r="L98" i="27"/>
  <c r="L105" i="27"/>
  <c r="L125" i="27"/>
  <c r="L28" i="27" s="1"/>
  <c r="L119" i="27"/>
  <c r="AK99" i="12" s="1"/>
  <c r="AK93" i="12"/>
  <c r="L91" i="27"/>
  <c r="L102" i="27"/>
  <c r="L123" i="27"/>
  <c r="L93" i="27"/>
  <c r="L99" i="27"/>
  <c r="L106" i="27"/>
  <c r="L120" i="27"/>
  <c r="L109" i="27"/>
  <c r="L97" i="27"/>
  <c r="L104" i="27"/>
  <c r="L124" i="27"/>
  <c r="AK104" i="12" s="1"/>
  <c r="L94" i="27"/>
  <c r="L100" i="27"/>
  <c r="L107" i="27"/>
  <c r="L108" i="27" s="1"/>
  <c r="L90" i="27"/>
  <c r="AK71" i="12" s="1"/>
  <c r="L89" i="27"/>
  <c r="L86" i="27"/>
  <c r="AK67" i="12" s="1"/>
  <c r="L79" i="27"/>
  <c r="L51" i="27"/>
  <c r="L87" i="27"/>
  <c r="AK68" i="12" s="1"/>
  <c r="L54" i="27"/>
  <c r="L121" i="27"/>
  <c r="L80" i="27"/>
  <c r="L85" i="27"/>
  <c r="L52" i="27"/>
  <c r="L88" i="27"/>
  <c r="L78" i="27"/>
  <c r="L53" i="27"/>
  <c r="J112" i="32"/>
  <c r="J110" i="32"/>
  <c r="J111" i="32"/>
  <c r="AW96" i="12"/>
  <c r="BY95" i="12"/>
  <c r="W76" i="12"/>
  <c r="AE49" i="12"/>
  <c r="F81" i="27"/>
  <c r="K108" i="28"/>
  <c r="K173" i="28"/>
  <c r="L126" i="29"/>
  <c r="K108" i="26"/>
  <c r="K126" i="27"/>
  <c r="K108" i="27"/>
  <c r="BY76" i="12"/>
  <c r="AG8" i="33"/>
  <c r="G8" i="33" s="1"/>
  <c r="H29" i="32"/>
  <c r="M103" i="29"/>
  <c r="M112" i="29"/>
  <c r="BL92" i="12" s="1"/>
  <c r="M110" i="29"/>
  <c r="M82" i="29"/>
  <c r="M111" i="29"/>
  <c r="BL91" i="12" s="1"/>
  <c r="M117" i="29"/>
  <c r="BL97" i="12" s="1"/>
  <c r="M166" i="29"/>
  <c r="BL146" i="12" s="1"/>
  <c r="M169" i="29"/>
  <c r="M172" i="29"/>
  <c r="M167" i="29"/>
  <c r="BL147" i="12" s="1"/>
  <c r="M170" i="29"/>
  <c r="M165" i="29"/>
  <c r="M116" i="29"/>
  <c r="BL96" i="12" s="1"/>
  <c r="M171" i="29"/>
  <c r="M154" i="29"/>
  <c r="M115" i="29"/>
  <c r="M149" i="29"/>
  <c r="M157" i="29"/>
  <c r="M152" i="29"/>
  <c r="M155" i="29"/>
  <c r="M150" i="29"/>
  <c r="M158" i="29"/>
  <c r="M168" i="29"/>
  <c r="M153" i="29"/>
  <c r="M156" i="29"/>
  <c r="M139" i="29"/>
  <c r="M142" i="29"/>
  <c r="M159" i="29"/>
  <c r="M135" i="29"/>
  <c r="BL115" i="12" s="1"/>
  <c r="M140" i="29"/>
  <c r="M151" i="29"/>
  <c r="M143" i="29"/>
  <c r="BL123" i="12" s="1"/>
  <c r="M134" i="29"/>
  <c r="M147" i="29"/>
  <c r="M129" i="29"/>
  <c r="M141" i="29"/>
  <c r="M132" i="29"/>
  <c r="M127" i="29"/>
  <c r="M130" i="29"/>
  <c r="M144" i="29"/>
  <c r="BL124" i="12" s="1"/>
  <c r="M146" i="29"/>
  <c r="BL126" i="12" s="1"/>
  <c r="M128" i="29"/>
  <c r="M131" i="29"/>
  <c r="M120" i="29"/>
  <c r="M122" i="29"/>
  <c r="M125" i="29"/>
  <c r="M28" i="29" s="1"/>
  <c r="M121" i="29"/>
  <c r="BL101" i="12" s="1"/>
  <c r="M123" i="29"/>
  <c r="M119" i="29"/>
  <c r="BL99" i="12" s="1"/>
  <c r="M94" i="29"/>
  <c r="M100" i="29"/>
  <c r="M107" i="29"/>
  <c r="M98" i="29"/>
  <c r="M105" i="29"/>
  <c r="M90" i="29"/>
  <c r="BL71" i="12" s="1"/>
  <c r="M102" i="29"/>
  <c r="M93" i="29"/>
  <c r="M99" i="29"/>
  <c r="M106" i="29"/>
  <c r="M124" i="29"/>
  <c r="BL104" i="12" s="1"/>
  <c r="M91" i="29"/>
  <c r="M109" i="29"/>
  <c r="M87" i="29"/>
  <c r="BL68" i="12" s="1"/>
  <c r="M54" i="29"/>
  <c r="M79" i="29"/>
  <c r="M104" i="29"/>
  <c r="M52" i="29"/>
  <c r="M97" i="29"/>
  <c r="M88" i="29"/>
  <c r="BL69" i="12" s="1"/>
  <c r="M80" i="29"/>
  <c r="M86" i="29"/>
  <c r="BL67" i="12" s="1"/>
  <c r="M53" i="29"/>
  <c r="M78" i="29"/>
  <c r="M89" i="29"/>
  <c r="BL70" i="12" s="1"/>
  <c r="M51" i="29"/>
  <c r="M101" i="30"/>
  <c r="M126" i="30"/>
  <c r="L92" i="29"/>
  <c r="L133" i="29"/>
  <c r="L103" i="26"/>
  <c r="L112" i="26"/>
  <c r="X92" i="12" s="1"/>
  <c r="L110" i="26"/>
  <c r="L82" i="26"/>
  <c r="L111" i="26"/>
  <c r="L115" i="26"/>
  <c r="L172" i="26"/>
  <c r="L167" i="26"/>
  <c r="X147" i="12" s="1"/>
  <c r="L170" i="26"/>
  <c r="L116" i="26"/>
  <c r="L165" i="26"/>
  <c r="X145" i="12" s="1"/>
  <c r="L168" i="26"/>
  <c r="L169" i="26"/>
  <c r="L171" i="26"/>
  <c r="L166" i="26"/>
  <c r="X146" i="12" s="1"/>
  <c r="L158" i="26"/>
  <c r="L156" i="26"/>
  <c r="L152" i="26"/>
  <c r="L159" i="26"/>
  <c r="L117" i="26"/>
  <c r="X97" i="12" s="1"/>
  <c r="L151" i="26"/>
  <c r="L153" i="26"/>
  <c r="L154" i="26"/>
  <c r="L157" i="26"/>
  <c r="L155" i="26"/>
  <c r="L150" i="26"/>
  <c r="L143" i="26"/>
  <c r="X123" i="12" s="1"/>
  <c r="L147" i="26"/>
  <c r="X127" i="12" s="1"/>
  <c r="L135" i="26"/>
  <c r="L141" i="26"/>
  <c r="L144" i="26"/>
  <c r="X124" i="12" s="1"/>
  <c r="L142" i="26"/>
  <c r="X122" i="12" s="1"/>
  <c r="L146" i="26"/>
  <c r="L130" i="26"/>
  <c r="L132" i="26"/>
  <c r="L149" i="26"/>
  <c r="L128" i="26"/>
  <c r="L134" i="26"/>
  <c r="L131" i="26"/>
  <c r="L129" i="26"/>
  <c r="L127" i="26"/>
  <c r="L122" i="26"/>
  <c r="L119" i="26"/>
  <c r="X99" i="12" s="1"/>
  <c r="L123" i="26"/>
  <c r="L120" i="26"/>
  <c r="L124" i="26"/>
  <c r="X104" i="12" s="1"/>
  <c r="L121" i="26"/>
  <c r="L94" i="26"/>
  <c r="L97" i="26"/>
  <c r="L90" i="26"/>
  <c r="X71" i="12" s="1"/>
  <c r="L93" i="26"/>
  <c r="L105" i="26"/>
  <c r="L88" i="26"/>
  <c r="X69" i="12" s="1"/>
  <c r="L54" i="26"/>
  <c r="L102" i="26"/>
  <c r="L86" i="26"/>
  <c r="X67" i="12" s="1"/>
  <c r="L85" i="26"/>
  <c r="L106" i="26"/>
  <c r="L89" i="26"/>
  <c r="X70" i="12" s="1"/>
  <c r="L52" i="26"/>
  <c r="L99" i="26"/>
  <c r="L91" i="26"/>
  <c r="L104" i="26"/>
  <c r="L109" i="26"/>
  <c r="L87" i="26"/>
  <c r="X68" i="12" s="1"/>
  <c r="L98" i="26"/>
  <c r="L107" i="26"/>
  <c r="L53" i="26"/>
  <c r="L100" i="26"/>
  <c r="L79" i="26"/>
  <c r="L78" i="26"/>
  <c r="L80" i="26"/>
  <c r="L140" i="26"/>
  <c r="L139" i="26"/>
  <c r="L51" i="26"/>
  <c r="L103" i="28"/>
  <c r="L112" i="28"/>
  <c r="AX92" i="12" s="1"/>
  <c r="L110" i="28"/>
  <c r="AX90" i="12" s="1"/>
  <c r="L117" i="28"/>
  <c r="AX97" i="12" s="1"/>
  <c r="L111" i="28"/>
  <c r="AX91" i="12" s="1"/>
  <c r="L141" i="28"/>
  <c r="AX121" i="12" s="1"/>
  <c r="L165" i="28"/>
  <c r="L168" i="28"/>
  <c r="L171" i="28"/>
  <c r="L166" i="28"/>
  <c r="L169" i="28"/>
  <c r="L172" i="28"/>
  <c r="L116" i="28"/>
  <c r="AX96" i="12" s="1"/>
  <c r="L170" i="28"/>
  <c r="L150" i="28"/>
  <c r="L158" i="28"/>
  <c r="L153" i="28"/>
  <c r="L115" i="28"/>
  <c r="L167" i="28"/>
  <c r="AX147" i="12" s="1"/>
  <c r="L156" i="28"/>
  <c r="L151" i="28"/>
  <c r="L159" i="28"/>
  <c r="L154" i="28"/>
  <c r="L149" i="28"/>
  <c r="L157" i="28"/>
  <c r="L152" i="28"/>
  <c r="L142" i="28"/>
  <c r="AX122" i="12" s="1"/>
  <c r="L135" i="28"/>
  <c r="L147" i="28"/>
  <c r="AX127" i="12" s="1"/>
  <c r="L155" i="28"/>
  <c r="L143" i="28"/>
  <c r="L134" i="28"/>
  <c r="L130" i="28"/>
  <c r="L144" i="28"/>
  <c r="L128" i="28"/>
  <c r="L146" i="28"/>
  <c r="AX126" i="12" s="1"/>
  <c r="L131" i="28"/>
  <c r="L129" i="28"/>
  <c r="L132" i="28"/>
  <c r="L127" i="28"/>
  <c r="L93" i="28"/>
  <c r="L120" i="28"/>
  <c r="L91" i="28"/>
  <c r="L124" i="28"/>
  <c r="AX104" i="12" s="1"/>
  <c r="L122" i="28"/>
  <c r="L121" i="28"/>
  <c r="L125" i="28"/>
  <c r="L28" i="28" s="1"/>
  <c r="L119" i="28"/>
  <c r="L99" i="28"/>
  <c r="L104" i="28"/>
  <c r="L90" i="28"/>
  <c r="AX71" i="12" s="1"/>
  <c r="L107" i="28"/>
  <c r="L109" i="28"/>
  <c r="L97" i="28"/>
  <c r="L105" i="28"/>
  <c r="L98" i="28"/>
  <c r="L102" i="28"/>
  <c r="L106" i="28"/>
  <c r="AX93" i="12"/>
  <c r="L123" i="28"/>
  <c r="L86" i="28"/>
  <c r="AX67" i="12" s="1"/>
  <c r="L52" i="28"/>
  <c r="L89" i="28"/>
  <c r="L94" i="28"/>
  <c r="L87" i="28"/>
  <c r="AX68" i="12" s="1"/>
  <c r="L53" i="28"/>
  <c r="L85" i="28"/>
  <c r="L54" i="28"/>
  <c r="L88" i="28"/>
  <c r="AX69" i="12" s="1"/>
  <c r="L78" i="28"/>
  <c r="L100" i="28"/>
  <c r="L79" i="28"/>
  <c r="L80" i="28"/>
  <c r="L139" i="28"/>
  <c r="L140" i="28"/>
  <c r="K95" i="28"/>
  <c r="AW76" i="12" s="1"/>
  <c r="M92" i="30"/>
  <c r="K96" i="26"/>
  <c r="K114" i="26"/>
  <c r="W94" i="12" s="1"/>
  <c r="K145" i="27"/>
  <c r="K148" i="27"/>
  <c r="AR49" i="12"/>
  <c r="F81" i="28"/>
  <c r="BT49" i="12"/>
  <c r="H81" i="30"/>
  <c r="BT62" i="12" s="1"/>
  <c r="CH55" i="12"/>
  <c r="I81" i="34"/>
  <c r="CH62" i="12" s="1"/>
  <c r="T37" i="12"/>
  <c r="R38" i="12"/>
  <c r="E38" i="12" s="1"/>
  <c r="R38" i="33" s="1"/>
  <c r="E38" i="33" s="1"/>
  <c r="F81" i="26"/>
  <c r="H24" i="32"/>
  <c r="AG6" i="33" s="1"/>
  <c r="AG5" i="33"/>
  <c r="G5" i="33" s="1"/>
  <c r="H84" i="32"/>
  <c r="AG65" i="33" s="1"/>
  <c r="AK106" i="33"/>
  <c r="AK10" i="33"/>
  <c r="P18" i="11"/>
  <c r="CO8" i="12"/>
  <c r="CO9" i="12"/>
  <c r="Q28" i="15"/>
  <c r="Q28" i="14"/>
  <c r="Q28" i="8"/>
  <c r="J101" i="12"/>
  <c r="W101" i="33" s="1"/>
  <c r="J101" i="33" s="1"/>
  <c r="Q73" i="15"/>
  <c r="J104" i="12"/>
  <c r="W104" i="33" s="1"/>
  <c r="J104" i="33" s="1"/>
  <c r="J97" i="12"/>
  <c r="W97" i="33" s="1"/>
  <c r="J97" i="33" s="1"/>
  <c r="J95" i="12"/>
  <c r="W95" i="33" s="1"/>
  <c r="J95" i="33" s="1"/>
  <c r="I125" i="12"/>
  <c r="V125" i="33" s="1"/>
  <c r="I128" i="12"/>
  <c r="V128" i="33" s="1"/>
  <c r="J121" i="12"/>
  <c r="H65" i="12"/>
  <c r="J124" i="12"/>
  <c r="W124" i="33" s="1"/>
  <c r="J71" i="12"/>
  <c r="W71" i="33" s="1"/>
  <c r="J71" i="33" s="1"/>
  <c r="J115" i="12"/>
  <c r="W115" i="33" s="1"/>
  <c r="J147" i="12"/>
  <c r="W147" i="33" s="1"/>
  <c r="J147" i="33" s="1"/>
  <c r="I7" i="12"/>
  <c r="I98" i="12"/>
  <c r="J146" i="12"/>
  <c r="W146" i="33" s="1"/>
  <c r="G16" i="12"/>
  <c r="T16" i="33" s="1"/>
  <c r="CG113" i="12"/>
  <c r="E47" i="12"/>
  <c r="R47" i="33" s="1"/>
  <c r="E47" i="33" s="1"/>
  <c r="H143" i="12"/>
  <c r="U143" i="33" s="1"/>
  <c r="H143" i="33" s="1"/>
  <c r="H105" i="12"/>
  <c r="U105" i="33" s="1"/>
  <c r="H105" i="33" s="1"/>
  <c r="E52" i="12"/>
  <c r="R52" i="33" s="1"/>
  <c r="E52" i="33" s="1"/>
  <c r="E106" i="12"/>
  <c r="R106" i="33" s="1"/>
  <c r="E106" i="33" s="1"/>
  <c r="BS113" i="12"/>
  <c r="G176" i="30"/>
  <c r="BS156" i="12" s="1"/>
  <c r="F75" i="21" s="1"/>
  <c r="F66" i="21" s="1"/>
  <c r="BR21" i="12"/>
  <c r="E56" i="21" s="1"/>
  <c r="E47" i="21" s="1"/>
  <c r="F177" i="30"/>
  <c r="BQ21" i="12"/>
  <c r="D56" i="21" s="1"/>
  <c r="E177" i="30"/>
  <c r="BS11" i="12"/>
  <c r="G39" i="30"/>
  <c r="BT37" i="12"/>
  <c r="F106" i="12"/>
  <c r="BT107" i="12"/>
  <c r="G107" i="12" s="1"/>
  <c r="T107" i="33" s="1"/>
  <c r="G107" i="33" s="1"/>
  <c r="BT10" i="12"/>
  <c r="CK130" i="12"/>
  <c r="CK135" i="12"/>
  <c r="CK150" i="12"/>
  <c r="CK151" i="12"/>
  <c r="CK114" i="12"/>
  <c r="CK137" i="12"/>
  <c r="CK136" i="12"/>
  <c r="CK152" i="12"/>
  <c r="CK85" i="12"/>
  <c r="CK83" i="12"/>
  <c r="CK138" i="12"/>
  <c r="CK134" i="12"/>
  <c r="CK80" i="12"/>
  <c r="CK84" i="12"/>
  <c r="CK72" i="12"/>
  <c r="CK132" i="12"/>
  <c r="CK139" i="12"/>
  <c r="CK103" i="12"/>
  <c r="CK34" i="12"/>
  <c r="CK133" i="12"/>
  <c r="CK87" i="12"/>
  <c r="CK63" i="12"/>
  <c r="CK89" i="12"/>
  <c r="CK131" i="12"/>
  <c r="CK149" i="12"/>
  <c r="CK100" i="12"/>
  <c r="CK143" i="12"/>
  <c r="CK79" i="12"/>
  <c r="CK142" i="12"/>
  <c r="CK81" i="12"/>
  <c r="CK33" i="12"/>
  <c r="CK61" i="12"/>
  <c r="CK60" i="12"/>
  <c r="CK120" i="12"/>
  <c r="CK59" i="12"/>
  <c r="CK119" i="12"/>
  <c r="CK75" i="12"/>
  <c r="CJ27" i="12"/>
  <c r="K64" i="34"/>
  <c r="CJ45" i="12" s="1"/>
  <c r="CJ30" i="12"/>
  <c r="K67" i="34"/>
  <c r="CJ48" i="12" s="1"/>
  <c r="CJ24" i="12"/>
  <c r="K61" i="34"/>
  <c r="CJ42" i="12" s="1"/>
  <c r="CI25" i="12"/>
  <c r="J75" i="34"/>
  <c r="CI56" i="12" s="1"/>
  <c r="J69" i="34"/>
  <c r="CI50" i="12" s="1"/>
  <c r="J56" i="34"/>
  <c r="J72" i="34"/>
  <c r="CI53" i="12" s="1"/>
  <c r="CJ74" i="12"/>
  <c r="CJ77" i="12"/>
  <c r="CJ148" i="12"/>
  <c r="CJ153" i="12"/>
  <c r="E57" i="12"/>
  <c r="R57" i="33" s="1"/>
  <c r="E57" i="33" s="1"/>
  <c r="F28" i="12"/>
  <c r="S28" i="33" s="1"/>
  <c r="F28" i="33" s="1"/>
  <c r="J68" i="34"/>
  <c r="CI47" i="12"/>
  <c r="CI28" i="12"/>
  <c r="J57" i="34"/>
  <c r="CI38" i="12" s="1"/>
  <c r="J76" i="34"/>
  <c r="CI57" i="12" s="1"/>
  <c r="J73" i="34"/>
  <c r="CI54" i="12" s="1"/>
  <c r="J70" i="34"/>
  <c r="CI51" i="12" s="1"/>
  <c r="I100" i="12"/>
  <c r="V100" i="33" s="1"/>
  <c r="I133" i="12"/>
  <c r="V133" i="33" s="1"/>
  <c r="I133" i="33" s="1"/>
  <c r="E51" i="12"/>
  <c r="R51" i="33" s="1"/>
  <c r="E51" i="33" s="1"/>
  <c r="H26" i="12"/>
  <c r="U26" i="33" s="1"/>
  <c r="CI31" i="12"/>
  <c r="J74" i="34"/>
  <c r="CI55" i="12" s="1"/>
  <c r="J77" i="34"/>
  <c r="CI58" i="12" s="1"/>
  <c r="J71" i="34"/>
  <c r="CI52" i="12" s="1"/>
  <c r="J58" i="34"/>
  <c r="CI39" i="12" s="1"/>
  <c r="BE21" i="12"/>
  <c r="E55" i="21" s="1"/>
  <c r="E46" i="21" s="1"/>
  <c r="F177" i="29"/>
  <c r="CD21" i="12"/>
  <c r="D57" i="21" s="1"/>
  <c r="E177" i="34"/>
  <c r="CD157" i="12" s="1"/>
  <c r="D94" i="21" s="1"/>
  <c r="D112" i="21" s="1"/>
  <c r="CJ102" i="12"/>
  <c r="CJ106" i="12"/>
  <c r="CJ78" i="12"/>
  <c r="CJ82" i="12"/>
  <c r="CI36" i="12"/>
  <c r="G42" i="12"/>
  <c r="T42" i="33" s="1"/>
  <c r="G42" i="33" s="1"/>
  <c r="F177" i="34"/>
  <c r="CE157" i="12" s="1"/>
  <c r="E94" i="21" s="1"/>
  <c r="E112" i="21" s="1"/>
  <c r="CE156" i="12"/>
  <c r="E76" i="21" s="1"/>
  <c r="CJ141" i="12"/>
  <c r="CJ144" i="12"/>
  <c r="CI44" i="12"/>
  <c r="J65" i="34"/>
  <c r="CI46" i="12" s="1"/>
  <c r="CI10" i="12"/>
  <c r="CJ105" i="12"/>
  <c r="CH37" i="12"/>
  <c r="CJ32" i="12"/>
  <c r="K59" i="34"/>
  <c r="CJ40" i="12" s="1"/>
  <c r="CJ88" i="12"/>
  <c r="CJ86" i="12"/>
  <c r="CJ66" i="12"/>
  <c r="CJ73" i="12"/>
  <c r="I34" i="12"/>
  <c r="V34" i="33" s="1"/>
  <c r="I34" i="33" s="1"/>
  <c r="CJ23" i="12"/>
  <c r="K60" i="34"/>
  <c r="CJ129" i="12"/>
  <c r="CJ140" i="12"/>
  <c r="CJ35" i="12"/>
  <c r="BD21" i="12"/>
  <c r="I138" i="12"/>
  <c r="V138" i="33" s="1"/>
  <c r="I138" i="33" s="1"/>
  <c r="E58" i="12"/>
  <c r="R58" i="33" s="1"/>
  <c r="E58" i="33" s="1"/>
  <c r="G27" i="12"/>
  <c r="T27" i="33" s="1"/>
  <c r="G27" i="33" s="1"/>
  <c r="J60" i="28"/>
  <c r="AV41" i="12" s="1"/>
  <c r="E31" i="12"/>
  <c r="R31" i="33" s="1"/>
  <c r="E31" i="33" s="1"/>
  <c r="E45" i="12"/>
  <c r="R45" i="33" s="1"/>
  <c r="E45" i="33" s="1"/>
  <c r="CJ29" i="12"/>
  <c r="K66" i="34"/>
  <c r="CJ26" i="12"/>
  <c r="K63" i="34"/>
  <c r="J62" i="34"/>
  <c r="CI43" i="12" s="1"/>
  <c r="CI41" i="12"/>
  <c r="J68" i="12"/>
  <c r="W68" i="33" s="1"/>
  <c r="J68" i="33" s="1"/>
  <c r="I72" i="12"/>
  <c r="V72" i="33" s="1"/>
  <c r="I72" i="33" s="1"/>
  <c r="I130" i="12"/>
  <c r="V130" i="33" s="1"/>
  <c r="I130" i="33" s="1"/>
  <c r="I149" i="12"/>
  <c r="V149" i="33" s="1"/>
  <c r="I149" i="33" s="1"/>
  <c r="I137" i="12"/>
  <c r="V137" i="33" s="1"/>
  <c r="I137" i="33" s="1"/>
  <c r="I134" i="12"/>
  <c r="V134" i="33" s="1"/>
  <c r="I134" i="33" s="1"/>
  <c r="G48" i="12"/>
  <c r="T48" i="33" s="1"/>
  <c r="G48" i="33" s="1"/>
  <c r="H40" i="12"/>
  <c r="U40" i="33" s="1"/>
  <c r="H40" i="33" s="1"/>
  <c r="F102" i="12"/>
  <c r="S102" i="33" s="1"/>
  <c r="F102" i="33" s="1"/>
  <c r="I80" i="12"/>
  <c r="V80" i="33" s="1"/>
  <c r="I80" i="33" s="1"/>
  <c r="I150" i="12"/>
  <c r="V150" i="33" s="1"/>
  <c r="I150" i="33" s="1"/>
  <c r="G41" i="12"/>
  <c r="T41" i="33" s="1"/>
  <c r="I131" i="12"/>
  <c r="V131" i="33" s="1"/>
  <c r="I131" i="33" s="1"/>
  <c r="L164" i="12"/>
  <c r="I8" i="12"/>
  <c r="V8" i="33" s="1"/>
  <c r="I12" i="12"/>
  <c r="V12" i="33" s="1"/>
  <c r="J70" i="12"/>
  <c r="W70" i="33" s="1"/>
  <c r="J70" i="33" s="1"/>
  <c r="J145" i="12"/>
  <c r="W145" i="33" s="1"/>
  <c r="I85" i="12"/>
  <c r="G53" i="12"/>
  <c r="T53" i="33" s="1"/>
  <c r="I60" i="12"/>
  <c r="V60" i="33" s="1"/>
  <c r="I60" i="33" s="1"/>
  <c r="I135" i="12"/>
  <c r="V135" i="33" s="1"/>
  <c r="I135" i="33" s="1"/>
  <c r="I151" i="12"/>
  <c r="V151" i="33" s="1"/>
  <c r="I151" i="33" s="1"/>
  <c r="I84" i="12"/>
  <c r="H82" i="12"/>
  <c r="E36" i="12"/>
  <c r="G43" i="12"/>
  <c r="T43" i="33" s="1"/>
  <c r="G50" i="12"/>
  <c r="T50" i="33" s="1"/>
  <c r="J122" i="12"/>
  <c r="W122" i="33" s="1"/>
  <c r="J126" i="12"/>
  <c r="W126" i="33" s="1"/>
  <c r="J93" i="12"/>
  <c r="W93" i="33" s="1"/>
  <c r="I94" i="12"/>
  <c r="V94" i="33" s="1"/>
  <c r="G56" i="12"/>
  <c r="T56" i="33" s="1"/>
  <c r="I139" i="12"/>
  <c r="V139" i="33" s="1"/>
  <c r="I139" i="33" s="1"/>
  <c r="I61" i="12"/>
  <c r="V61" i="33" s="1"/>
  <c r="I61" i="33" s="1"/>
  <c r="I103" i="12"/>
  <c r="V103" i="33" s="1"/>
  <c r="I103" i="33" s="1"/>
  <c r="I132" i="12"/>
  <c r="V132" i="33" s="1"/>
  <c r="I132" i="33" s="1"/>
  <c r="H73" i="12"/>
  <c r="E54" i="12"/>
  <c r="R54" i="33" s="1"/>
  <c r="E54" i="33" s="1"/>
  <c r="H24" i="12"/>
  <c r="U24" i="33" s="1"/>
  <c r="H24" i="33" s="1"/>
  <c r="E46" i="12"/>
  <c r="R46" i="33" s="1"/>
  <c r="E46" i="33" s="1"/>
  <c r="I33" i="12"/>
  <c r="V33" i="33" s="1"/>
  <c r="I33" i="33" s="1"/>
  <c r="J99" i="12"/>
  <c r="M166" i="12"/>
  <c r="M16" i="21" s="1"/>
  <c r="J116" i="12"/>
  <c r="W116" i="33" s="1"/>
  <c r="J123" i="12"/>
  <c r="W123" i="33" s="1"/>
  <c r="J91" i="12"/>
  <c r="W91" i="33" s="1"/>
  <c r="I74" i="12"/>
  <c r="V74" i="33" s="1"/>
  <c r="I74" i="33" s="1"/>
  <c r="I148" i="12"/>
  <c r="V148" i="33" s="1"/>
  <c r="I148" i="33" s="1"/>
  <c r="I81" i="12"/>
  <c r="V81" i="33" s="1"/>
  <c r="I81" i="33" s="1"/>
  <c r="I15" i="12"/>
  <c r="V15" i="33" s="1"/>
  <c r="H153" i="12"/>
  <c r="U153" i="33" s="1"/>
  <c r="H42" i="12"/>
  <c r="U42" i="33" s="1"/>
  <c r="H42" i="33" s="1"/>
  <c r="D62" i="12"/>
  <c r="Q62" i="33" s="1"/>
  <c r="U141" i="33"/>
  <c r="H141" i="33" s="1"/>
  <c r="I143" i="12"/>
  <c r="V143" i="33" s="1"/>
  <c r="I143" i="33" s="1"/>
  <c r="I35" i="12"/>
  <c r="V35" i="33" s="1"/>
  <c r="I35" i="33" s="1"/>
  <c r="H150" i="12"/>
  <c r="U150" i="33" s="1"/>
  <c r="H150" i="33" s="1"/>
  <c r="I78" i="12"/>
  <c r="V78" i="33" s="1"/>
  <c r="I78" i="33" s="1"/>
  <c r="I152" i="12"/>
  <c r="V152" i="33" s="1"/>
  <c r="I152" i="33" s="1"/>
  <c r="I89" i="12"/>
  <c r="I114" i="12"/>
  <c r="H140" i="12"/>
  <c r="U74" i="33"/>
  <c r="H74" i="33" s="1"/>
  <c r="J127" i="12"/>
  <c r="W127" i="33" s="1"/>
  <c r="J117" i="12"/>
  <c r="W117" i="33" s="1"/>
  <c r="J69" i="12"/>
  <c r="W69" i="33" s="1"/>
  <c r="J69" i="33" s="1"/>
  <c r="I83" i="12"/>
  <c r="I59" i="12"/>
  <c r="V59" i="33" s="1"/>
  <c r="I59" i="33" s="1"/>
  <c r="I119" i="12"/>
  <c r="I120" i="12"/>
  <c r="E39" i="12"/>
  <c r="R39" i="33" s="1"/>
  <c r="E39" i="33" s="1"/>
  <c r="H44" i="12"/>
  <c r="U44" i="33" s="1"/>
  <c r="U66" i="33"/>
  <c r="H66" i="33" s="1"/>
  <c r="H23" i="12"/>
  <c r="U23" i="33" s="1"/>
  <c r="J92" i="12"/>
  <c r="W92" i="33" s="1"/>
  <c r="J67" i="12"/>
  <c r="W67" i="33" s="1"/>
  <c r="I87" i="12"/>
  <c r="V87" i="33" s="1"/>
  <c r="I87" i="33" s="1"/>
  <c r="I79" i="12"/>
  <c r="V79" i="33" s="1"/>
  <c r="I79" i="33" s="1"/>
  <c r="I136" i="12"/>
  <c r="V136" i="33" s="1"/>
  <c r="I136" i="33" s="1"/>
  <c r="I118" i="12"/>
  <c r="V118" i="33" s="1"/>
  <c r="I129" i="12"/>
  <c r="V129" i="33" s="1"/>
  <c r="I129" i="33" s="1"/>
  <c r="I63" i="12"/>
  <c r="E55" i="12"/>
  <c r="R55" i="33" s="1"/>
  <c r="E55" i="33" s="1"/>
  <c r="G29" i="12"/>
  <c r="T29" i="33" s="1"/>
  <c r="G29" i="33" s="1"/>
  <c r="G30" i="12"/>
  <c r="T30" i="33" s="1"/>
  <c r="G30" i="33" s="1"/>
  <c r="H144" i="12"/>
  <c r="E10" i="12"/>
  <c r="R10" i="33" s="1"/>
  <c r="E10" i="33" s="1"/>
  <c r="D11" i="12"/>
  <c r="Q11" i="33" s="1"/>
  <c r="M171" i="12"/>
  <c r="G109" i="12"/>
  <c r="T109" i="33" s="1"/>
  <c r="G109" i="33" s="1"/>
  <c r="G112" i="12"/>
  <c r="T112" i="33" s="1"/>
  <c r="G112" i="33" s="1"/>
  <c r="H32" i="12"/>
  <c r="U32" i="33" s="1"/>
  <c r="H32" i="33" s="1"/>
  <c r="H86" i="12"/>
  <c r="U86" i="33" s="1"/>
  <c r="H86" i="33" s="1"/>
  <c r="N26" i="21"/>
  <c r="G64" i="12"/>
  <c r="G111" i="12"/>
  <c r="T111" i="33" s="1"/>
  <c r="G111" i="33" s="1"/>
  <c r="G110" i="12"/>
  <c r="T110" i="33" s="1"/>
  <c r="G110" i="33" s="1"/>
  <c r="G176" i="34"/>
  <c r="CF113" i="12"/>
  <c r="G108" i="12"/>
  <c r="T108" i="33" s="1"/>
  <c r="G108" i="33" s="1"/>
  <c r="D156" i="12"/>
  <c r="AH111" i="33"/>
  <c r="CH111" i="12"/>
  <c r="AH110" i="33"/>
  <c r="CH110" i="12"/>
  <c r="CH64" i="12"/>
  <c r="AH107" i="33"/>
  <c r="H176" i="34"/>
  <c r="O74" i="8"/>
  <c r="O69" i="8"/>
  <c r="O67" i="8"/>
  <c r="O73" i="8"/>
  <c r="O168" i="8"/>
  <c r="O169" i="8" s="1"/>
  <c r="O72" i="8"/>
  <c r="O70" i="8"/>
  <c r="N73" i="14"/>
  <c r="N74" i="14"/>
  <c r="N69" i="14"/>
  <c r="N67" i="14"/>
  <c r="N70" i="14"/>
  <c r="N151" i="14"/>
  <c r="N152" i="14" s="1"/>
  <c r="N72" i="14"/>
  <c r="Q151" i="15"/>
  <c r="P62" i="8"/>
  <c r="P66" i="8" s="1"/>
  <c r="P59" i="8"/>
  <c r="N442" i="14"/>
  <c r="O65" i="14"/>
  <c r="O42" i="14" s="1"/>
  <c r="Q70" i="15"/>
  <c r="Q5" i="8"/>
  <c r="P58" i="8"/>
  <c r="P459" i="8"/>
  <c r="P57" i="8" s="1"/>
  <c r="O63" i="14"/>
  <c r="P366" i="14"/>
  <c r="P398" i="14"/>
  <c r="P338" i="14"/>
  <c r="P330" i="14"/>
  <c r="P399" i="14"/>
  <c r="P343" i="14"/>
  <c r="P364" i="14"/>
  <c r="P379" i="14"/>
  <c r="P349" i="14"/>
  <c r="P417" i="14"/>
  <c r="P348" i="14"/>
  <c r="P367" i="14"/>
  <c r="P384" i="14"/>
  <c r="P376" i="14"/>
  <c r="P363" i="14"/>
  <c r="P362" i="14"/>
  <c r="P374" i="14"/>
  <c r="P334" i="14"/>
  <c r="P322" i="14"/>
  <c r="P427" i="14"/>
  <c r="P351" i="14"/>
  <c r="P371" i="14"/>
  <c r="P408" i="14"/>
  <c r="P421" i="14"/>
  <c r="P328" i="14"/>
  <c r="P356" i="14"/>
  <c r="P388" i="14"/>
  <c r="P333" i="14"/>
  <c r="P397" i="14"/>
  <c r="P373" i="14"/>
  <c r="P382" i="14"/>
  <c r="P378" i="14"/>
  <c r="P419" i="14"/>
  <c r="P415" i="14"/>
  <c r="P439" i="14"/>
  <c r="P440" i="14"/>
  <c r="P381" i="14"/>
  <c r="P420" i="14"/>
  <c r="P428" i="14"/>
  <c r="P436" i="14"/>
  <c r="P429" i="14"/>
  <c r="P385" i="14"/>
  <c r="P368" i="14"/>
  <c r="P347" i="14"/>
  <c r="P418" i="14"/>
  <c r="P358" i="14"/>
  <c r="P411" i="14"/>
  <c r="P407" i="14"/>
  <c r="P400" i="14"/>
  <c r="P435" i="14"/>
  <c r="P409" i="14"/>
  <c r="P395" i="14"/>
  <c r="P434" i="14"/>
  <c r="P404" i="14"/>
  <c r="P380" i="14"/>
  <c r="P413" i="14"/>
  <c r="P377" i="14"/>
  <c r="P432" i="14"/>
  <c r="P414" i="14"/>
  <c r="P354" i="14"/>
  <c r="P403" i="14"/>
  <c r="P318" i="14"/>
  <c r="P392" i="14"/>
  <c r="P319" i="14"/>
  <c r="P433" i="14"/>
  <c r="P438" i="14"/>
  <c r="P339" i="14"/>
  <c r="P426" i="14"/>
  <c r="P325" i="14"/>
  <c r="P336" i="14"/>
  <c r="P405" i="14"/>
  <c r="P321" i="14"/>
  <c r="P387" i="14"/>
  <c r="P410" i="14"/>
  <c r="P350" i="14"/>
  <c r="P375" i="14"/>
  <c r="P430" i="14"/>
  <c r="P412" i="14"/>
  <c r="P437" i="14"/>
  <c r="P394" i="14"/>
  <c r="P391" i="14"/>
  <c r="P355" i="14"/>
  <c r="P359" i="14"/>
  <c r="P341" i="14"/>
  <c r="P344" i="14"/>
  <c r="P331" i="14"/>
  <c r="P361" i="14"/>
  <c r="P386" i="14"/>
  <c r="P406" i="14"/>
  <c r="P346" i="14"/>
  <c r="P423" i="14"/>
  <c r="P324" i="14"/>
  <c r="P431" i="14"/>
  <c r="P369" i="14"/>
  <c r="P327" i="14"/>
  <c r="P316" i="14"/>
  <c r="P396" i="14"/>
  <c r="P424" i="14"/>
  <c r="P357" i="14"/>
  <c r="P352" i="14"/>
  <c r="P416" i="14"/>
  <c r="P372" i="14"/>
  <c r="P402" i="14"/>
  <c r="P401" i="14"/>
  <c r="P342" i="14"/>
  <c r="P340" i="14"/>
  <c r="P390" i="14"/>
  <c r="P360" i="14"/>
  <c r="P393" i="14"/>
  <c r="P383" i="14"/>
  <c r="P335" i="14"/>
  <c r="P425" i="14"/>
  <c r="P353" i="14"/>
  <c r="P345" i="14"/>
  <c r="P389" i="14"/>
  <c r="P370" i="14"/>
  <c r="P365" i="14"/>
  <c r="P59" i="14" s="1"/>
  <c r="P317" i="14"/>
  <c r="P337" i="14"/>
  <c r="P323" i="14"/>
  <c r="P64" i="14" s="1"/>
  <c r="P329" i="14"/>
  <c r="P320" i="14"/>
  <c r="P63" i="14" s="1"/>
  <c r="P326" i="14"/>
  <c r="P332" i="14"/>
  <c r="P422" i="14"/>
  <c r="P65" i="14" s="1"/>
  <c r="P42" i="14" s="1"/>
  <c r="P5" i="14"/>
  <c r="O62" i="14"/>
  <c r="Q438" i="8"/>
  <c r="Q434" i="8"/>
  <c r="Q403" i="8"/>
  <c r="Q440" i="8"/>
  <c r="Q339" i="8"/>
  <c r="Q387" i="8"/>
  <c r="Q406" i="8"/>
  <c r="Q362" i="8"/>
  <c r="Q335" i="8"/>
  <c r="Q452" i="8"/>
  <c r="Q377" i="8"/>
  <c r="Q429" i="8"/>
  <c r="Q453" i="8"/>
  <c r="Q381" i="8"/>
  <c r="Q416" i="8"/>
  <c r="Q384" i="8"/>
  <c r="Q353" i="8"/>
  <c r="Q352" i="8"/>
  <c r="Q435" i="8"/>
  <c r="Q458" i="8"/>
  <c r="Q336" i="8"/>
  <c r="Q367" i="8"/>
  <c r="Q391" i="8"/>
  <c r="Q414" i="8"/>
  <c r="Q432" i="8"/>
  <c r="Q419" i="8"/>
  <c r="Q451" i="8"/>
  <c r="Q356" i="8"/>
  <c r="Q425" i="8"/>
  <c r="Q365" i="8"/>
  <c r="Q357" i="8"/>
  <c r="Q376" i="8"/>
  <c r="Q431" i="8"/>
  <c r="Q410" i="8"/>
  <c r="Q394" i="8"/>
  <c r="Q448" i="8"/>
  <c r="Q445" i="8"/>
  <c r="Q407" i="8"/>
  <c r="Q456" i="8"/>
  <c r="Q380" i="8"/>
  <c r="Q423" i="8"/>
  <c r="Q344" i="8"/>
  <c r="Q415" i="8"/>
  <c r="Q420" i="8"/>
  <c r="Q426" i="8"/>
  <c r="Q370" i="8"/>
  <c r="Q436" i="8"/>
  <c r="Q401" i="8"/>
  <c r="Q421" i="8"/>
  <c r="Q457" i="8"/>
  <c r="Q348" i="8"/>
  <c r="Q355" i="8"/>
  <c r="Q447" i="8"/>
  <c r="Q449" i="8"/>
  <c r="Q396" i="8"/>
  <c r="Q433" i="8"/>
  <c r="Q400" i="8"/>
  <c r="Q395" i="8"/>
  <c r="Q399" i="8"/>
  <c r="Q402" i="8"/>
  <c r="Q413" i="8"/>
  <c r="Q338" i="8"/>
  <c r="Q446" i="8"/>
  <c r="Q409" i="8"/>
  <c r="Q418" i="8"/>
  <c r="Q411" i="8"/>
  <c r="Q412" i="8"/>
  <c r="Q455" i="8"/>
  <c r="Q350" i="8"/>
  <c r="Q390" i="8"/>
  <c r="Q386" i="8"/>
  <c r="Q360" i="8"/>
  <c r="Q371" i="8"/>
  <c r="Q398" i="8"/>
  <c r="Q341" i="8"/>
  <c r="Q388" i="8"/>
  <c r="Q405" i="8"/>
  <c r="Q437" i="8"/>
  <c r="Q389" i="8"/>
  <c r="Q372" i="8"/>
  <c r="Q417" i="8"/>
  <c r="Q430" i="8"/>
  <c r="Q361" i="8"/>
  <c r="Q366" i="8"/>
  <c r="Q342" i="8"/>
  <c r="Q443" i="8"/>
  <c r="Q345" i="8"/>
  <c r="Q375" i="8"/>
  <c r="Q385" i="8"/>
  <c r="Q422" i="8"/>
  <c r="Q382" i="8"/>
  <c r="Q347" i="8"/>
  <c r="Q444" i="8"/>
  <c r="Q450" i="8"/>
  <c r="Q354" i="8"/>
  <c r="Q427" i="8"/>
  <c r="Q428" i="8"/>
  <c r="Q383" i="8"/>
  <c r="Q408" i="8"/>
  <c r="Q392" i="8"/>
  <c r="Q404" i="8"/>
  <c r="Q424" i="8"/>
  <c r="Q397" i="8"/>
  <c r="Q454" i="8"/>
  <c r="Q393" i="8"/>
  <c r="Q441" i="8"/>
  <c r="Q351" i="8"/>
  <c r="Q442" i="8"/>
  <c r="Q346" i="8"/>
  <c r="Q334" i="8"/>
  <c r="Q343" i="8"/>
  <c r="Q349" i="8"/>
  <c r="Q337" i="8"/>
  <c r="Q63" i="8" s="1"/>
  <c r="Q340" i="8"/>
  <c r="Q64" i="8" s="1"/>
  <c r="Q439" i="8"/>
  <c r="Q65" i="8" s="1"/>
  <c r="Q42" i="8" s="1"/>
  <c r="Q359" i="8"/>
  <c r="Q378" i="8"/>
  <c r="Q358" i="8"/>
  <c r="Q56" i="8" s="1"/>
  <c r="Q60" i="8" s="1"/>
  <c r="Q379" i="8"/>
  <c r="Q374" i="8"/>
  <c r="Q373" i="8"/>
  <c r="Q368" i="8"/>
  <c r="Q369" i="8"/>
  <c r="Q364" i="8"/>
  <c r="Q363" i="8"/>
  <c r="Q74" i="15"/>
  <c r="Q69" i="15"/>
  <c r="Q67" i="15"/>
  <c r="O68" i="14"/>
  <c r="O75" i="14" s="1"/>
  <c r="O441" i="14"/>
  <c r="O58" i="14"/>
  <c r="Q77" i="14"/>
  <c r="Q76" i="14"/>
  <c r="Q80" i="14" s="1"/>
  <c r="P68" i="8"/>
  <c r="P75" i="8" s="1"/>
  <c r="O59" i="14"/>
  <c r="M151" i="14"/>
  <c r="M152" i="14" s="1"/>
  <c r="AR11" i="12"/>
  <c r="V121" i="33"/>
  <c r="I121" i="33" s="1"/>
  <c r="U63" i="33"/>
  <c r="H63" i="33" s="1"/>
  <c r="T88" i="33"/>
  <c r="G88" i="33" s="1"/>
  <c r="U98" i="33"/>
  <c r="H98" i="33" s="1"/>
  <c r="U85" i="33"/>
  <c r="H85" i="33" s="1"/>
  <c r="U114" i="33"/>
  <c r="H114" i="33" s="1"/>
  <c r="AH90" i="33"/>
  <c r="H90" i="33" s="1"/>
  <c r="AH91" i="33"/>
  <c r="H91" i="33" s="1"/>
  <c r="AH116" i="33"/>
  <c r="H116" i="33" s="1"/>
  <c r="AH115" i="33"/>
  <c r="H115" i="33" s="1"/>
  <c r="AH109" i="33"/>
  <c r="AH146" i="33"/>
  <c r="H146" i="33" s="1"/>
  <c r="AH124" i="33"/>
  <c r="H124" i="33" s="1"/>
  <c r="AH112" i="33"/>
  <c r="AH108" i="33"/>
  <c r="AH126" i="33"/>
  <c r="H126" i="33" s="1"/>
  <c r="I38" i="32"/>
  <c r="AH17" i="33"/>
  <c r="H17" i="33" s="1"/>
  <c r="S64" i="33"/>
  <c r="F64" i="33" s="1"/>
  <c r="V99" i="33"/>
  <c r="I99" i="33" s="1"/>
  <c r="U89" i="33"/>
  <c r="H89" i="33" s="1"/>
  <c r="T140" i="33"/>
  <c r="G140" i="33" s="1"/>
  <c r="T77" i="33"/>
  <c r="G77" i="33" s="1"/>
  <c r="U83" i="33"/>
  <c r="H83" i="33" s="1"/>
  <c r="U84" i="33"/>
  <c r="H84" i="33" s="1"/>
  <c r="AG128" i="33"/>
  <c r="G128" i="33" s="1"/>
  <c r="AH92" i="33"/>
  <c r="H92" i="33" s="1"/>
  <c r="AH117" i="33"/>
  <c r="H117" i="33" s="1"/>
  <c r="AH127" i="33"/>
  <c r="H127" i="33" s="1"/>
  <c r="AH122" i="33"/>
  <c r="H122" i="33" s="1"/>
  <c r="AH145" i="33"/>
  <c r="H145" i="33" s="1"/>
  <c r="AH123" i="33"/>
  <c r="H123" i="33" s="1"/>
  <c r="I39" i="29"/>
  <c r="BH21" i="12" s="1"/>
  <c r="BH10" i="12"/>
  <c r="T144" i="33"/>
  <c r="G144" i="33" s="1"/>
  <c r="AL105" i="33"/>
  <c r="AG20" i="33"/>
  <c r="G20" i="33" s="1"/>
  <c r="U16" i="12"/>
  <c r="Q10" i="33"/>
  <c r="D10" i="33" s="1"/>
  <c r="AH16" i="12"/>
  <c r="T65" i="33"/>
  <c r="AV5" i="12"/>
  <c r="AF11" i="33"/>
  <c r="G39" i="32"/>
  <c r="AF21" i="33" s="1"/>
  <c r="BU11" i="12"/>
  <c r="I39" i="30"/>
  <c r="BU21" i="12" s="1"/>
  <c r="H56" i="21" s="1"/>
  <c r="H47" i="21" s="1"/>
  <c r="AU16" i="12"/>
  <c r="T6" i="33"/>
  <c r="AE11" i="12"/>
  <c r="F39" i="27"/>
  <c r="AE21" i="12" s="1"/>
  <c r="BG11" i="12"/>
  <c r="H39" i="29"/>
  <c r="BG21" i="12" s="1"/>
  <c r="U119" i="33"/>
  <c r="H119" i="33" s="1"/>
  <c r="AL35" i="33"/>
  <c r="AL60" i="33"/>
  <c r="T82" i="33"/>
  <c r="G82" i="33" s="1"/>
  <c r="U120" i="33"/>
  <c r="H120" i="33" s="1"/>
  <c r="AL34" i="33"/>
  <c r="AL33" i="33"/>
  <c r="AL61" i="33"/>
  <c r="AL59" i="33"/>
  <c r="AJ45" i="33"/>
  <c r="I75" i="27"/>
  <c r="AH56" i="12" s="1"/>
  <c r="BU112" i="12"/>
  <c r="BU108" i="12"/>
  <c r="S10" i="12"/>
  <c r="G73" i="33"/>
  <c r="U7" i="33"/>
  <c r="BU109" i="12"/>
  <c r="AD157" i="12"/>
  <c r="AD162" i="12" s="1"/>
  <c r="I56" i="27"/>
  <c r="AH37" i="12" s="1"/>
  <c r="V144" i="12"/>
  <c r="F29" i="26"/>
  <c r="BU64" i="12"/>
  <c r="AF10" i="12"/>
  <c r="AI73" i="12"/>
  <c r="E177" i="28"/>
  <c r="M96" i="32"/>
  <c r="AL77" i="33" s="1"/>
  <c r="M185" i="29"/>
  <c r="N185" i="30"/>
  <c r="L185" i="28"/>
  <c r="L95" i="28" s="1"/>
  <c r="AX76" i="12" s="1"/>
  <c r="L185" i="27"/>
  <c r="BW142" i="12"/>
  <c r="BW143" i="12"/>
  <c r="BW35" i="12"/>
  <c r="BW34" i="12"/>
  <c r="BW33" i="12"/>
  <c r="BJ142" i="12"/>
  <c r="BJ34" i="12"/>
  <c r="BJ33" i="12"/>
  <c r="BJ143" i="12"/>
  <c r="BJ35" i="12"/>
  <c r="AU88" i="12"/>
  <c r="H88" i="12" s="1"/>
  <c r="BG106" i="12"/>
  <c r="BG102" i="12"/>
  <c r="AV88" i="12"/>
  <c r="AV86" i="12"/>
  <c r="AI77" i="12"/>
  <c r="AI75" i="12"/>
  <c r="I75" i="12" s="1"/>
  <c r="AI88" i="12"/>
  <c r="AI86" i="12"/>
  <c r="I92" i="32"/>
  <c r="AH73" i="33" s="1"/>
  <c r="H67" i="33"/>
  <c r="BU111" i="12"/>
  <c r="BU107" i="12"/>
  <c r="BU110" i="12"/>
  <c r="W143" i="12"/>
  <c r="W35" i="12"/>
  <c r="W34" i="12"/>
  <c r="AJ33" i="12"/>
  <c r="BV144" i="12"/>
  <c r="BV141" i="12"/>
  <c r="BI144" i="12"/>
  <c r="BI141" i="12"/>
  <c r="AJ142" i="12"/>
  <c r="AV144" i="12"/>
  <c r="AV142" i="12"/>
  <c r="AI144" i="12"/>
  <c r="AI142" i="12"/>
  <c r="AW34" i="12"/>
  <c r="M126" i="32"/>
  <c r="M118" i="32"/>
  <c r="AL98" i="33" s="1"/>
  <c r="AW143" i="12"/>
  <c r="BU102" i="12"/>
  <c r="BU106" i="12"/>
  <c r="N78" i="32"/>
  <c r="N79" i="32"/>
  <c r="N80" i="32"/>
  <c r="N121" i="32"/>
  <c r="AM101" i="33" s="1"/>
  <c r="N123" i="32"/>
  <c r="AM103" i="33" s="1"/>
  <c r="N134" i="32"/>
  <c r="AM114" i="33" s="1"/>
  <c r="N141" i="32"/>
  <c r="AM121" i="33" s="1"/>
  <c r="N115" i="32"/>
  <c r="AM95" i="33" s="1"/>
  <c r="N120" i="32"/>
  <c r="AM100" i="33" s="1"/>
  <c r="N122" i="32"/>
  <c r="AM102" i="33" s="1"/>
  <c r="N124" i="32"/>
  <c r="AM104" i="33" s="1"/>
  <c r="N109" i="32"/>
  <c r="AM89" i="33" s="1"/>
  <c r="M67" i="32"/>
  <c r="AL48" i="33" s="1"/>
  <c r="BK126" i="12"/>
  <c r="AG10" i="12"/>
  <c r="AG102" i="12"/>
  <c r="AT106" i="12"/>
  <c r="AT102" i="12"/>
  <c r="AV73" i="12"/>
  <c r="AV66" i="12"/>
  <c r="N139" i="32"/>
  <c r="AM119" i="33" s="1"/>
  <c r="W141" i="12"/>
  <c r="W142" i="12"/>
  <c r="AJ34" i="12"/>
  <c r="AW35" i="12"/>
  <c r="AJ143" i="12"/>
  <c r="AW33" i="12"/>
  <c r="I62" i="26"/>
  <c r="U43" i="12" s="1"/>
  <c r="T106" i="12"/>
  <c r="T102" i="12"/>
  <c r="AA171" i="12"/>
  <c r="P204" i="32"/>
  <c r="AO169" i="33" s="1"/>
  <c r="AO171" i="33" s="1"/>
  <c r="J60" i="27"/>
  <c r="AI41" i="12" s="1"/>
  <c r="AI23" i="12"/>
  <c r="G68" i="27"/>
  <c r="AF47" i="12"/>
  <c r="G65" i="27"/>
  <c r="AF46" i="12" s="1"/>
  <c r="AF45" i="12"/>
  <c r="I62" i="27"/>
  <c r="AH43" i="12" s="1"/>
  <c r="AH41" i="12"/>
  <c r="AH25" i="12"/>
  <c r="I72" i="27"/>
  <c r="AH53" i="12" s="1"/>
  <c r="J61" i="27"/>
  <c r="AI42" i="12" s="1"/>
  <c r="AI24" i="12"/>
  <c r="AF36" i="12"/>
  <c r="AF31" i="12"/>
  <c r="I67" i="27"/>
  <c r="AH48" i="12" s="1"/>
  <c r="AH30" i="12"/>
  <c r="J60" i="26"/>
  <c r="V23" i="12"/>
  <c r="G65" i="26"/>
  <c r="S46" i="12" s="1"/>
  <c r="S45" i="12"/>
  <c r="I67" i="26"/>
  <c r="U48" i="12" s="1"/>
  <c r="U30" i="12"/>
  <c r="I56" i="26"/>
  <c r="U25" i="12"/>
  <c r="J59" i="26"/>
  <c r="V40" i="12" s="1"/>
  <c r="V32" i="12"/>
  <c r="G68" i="26"/>
  <c r="S49" i="12" s="1"/>
  <c r="S47" i="12"/>
  <c r="AU77" i="12"/>
  <c r="H77" i="12" s="1"/>
  <c r="J61" i="28"/>
  <c r="AV24" i="12"/>
  <c r="G68" i="28"/>
  <c r="AS47" i="12"/>
  <c r="I67" i="28"/>
  <c r="AU48" i="12" s="1"/>
  <c r="AU30" i="12"/>
  <c r="I62" i="28"/>
  <c r="AU43" i="12" s="1"/>
  <c r="AU41" i="12"/>
  <c r="AS31" i="12"/>
  <c r="AS36" i="12"/>
  <c r="G65" i="28"/>
  <c r="AS46" i="12" s="1"/>
  <c r="AS45" i="12"/>
  <c r="J60" i="30"/>
  <c r="BV41" i="12" s="1"/>
  <c r="BV23" i="12"/>
  <c r="I62" i="30"/>
  <c r="BU43" i="12" s="1"/>
  <c r="BU41" i="12"/>
  <c r="I67" i="30"/>
  <c r="BU48" i="12" s="1"/>
  <c r="BU30" i="12"/>
  <c r="J63" i="29"/>
  <c r="BI44" i="12" s="1"/>
  <c r="BI26" i="12"/>
  <c r="I62" i="29"/>
  <c r="BH43" i="12" s="1"/>
  <c r="BH41" i="12"/>
  <c r="G65" i="29"/>
  <c r="BF46" i="12" s="1"/>
  <c r="BF45" i="12"/>
  <c r="I67" i="29"/>
  <c r="BH48" i="12" s="1"/>
  <c r="BH30" i="12"/>
  <c r="J61" i="29"/>
  <c r="BI42" i="12" s="1"/>
  <c r="BI24" i="12"/>
  <c r="G68" i="29"/>
  <c r="BF47" i="12"/>
  <c r="BI105" i="12"/>
  <c r="BV105" i="12"/>
  <c r="BY121" i="12"/>
  <c r="AF113" i="12"/>
  <c r="S113" i="12"/>
  <c r="AS113" i="12"/>
  <c r="S36" i="12"/>
  <c r="L185" i="26"/>
  <c r="L95" i="26" s="1"/>
  <c r="I114" i="32"/>
  <c r="AH94" i="33" s="1"/>
  <c r="H94" i="33" s="1"/>
  <c r="I138" i="32"/>
  <c r="I148" i="32"/>
  <c r="J142" i="32"/>
  <c r="J144" i="32"/>
  <c r="J147" i="32"/>
  <c r="J166" i="32"/>
  <c r="J127" i="32"/>
  <c r="CI107" i="12" s="1"/>
  <c r="J129" i="32"/>
  <c r="CI109" i="12" s="1"/>
  <c r="J131" i="32"/>
  <c r="CI111" i="12" s="1"/>
  <c r="J143" i="32"/>
  <c r="J146" i="32"/>
  <c r="J165" i="32"/>
  <c r="J128" i="32"/>
  <c r="CI108" i="12" s="1"/>
  <c r="J130" i="32"/>
  <c r="CI110" i="12" s="1"/>
  <c r="J132" i="32"/>
  <c r="CI112" i="12" s="1"/>
  <c r="J136" i="32"/>
  <c r="J135" i="32"/>
  <c r="AI115" i="33" s="1"/>
  <c r="J137" i="32"/>
  <c r="J86" i="32"/>
  <c r="AI67" i="33" s="1"/>
  <c r="I133" i="32"/>
  <c r="AH113" i="33" s="1"/>
  <c r="I145" i="32"/>
  <c r="AH125" i="33" s="1"/>
  <c r="I173" i="32"/>
  <c r="AH153" i="33" s="1"/>
  <c r="J59" i="30"/>
  <c r="BV40" i="12" s="1"/>
  <c r="J59" i="29"/>
  <c r="BI40" i="12" s="1"/>
  <c r="J59" i="28"/>
  <c r="AV40" i="12" s="1"/>
  <c r="BF36" i="12"/>
  <c r="J59" i="27"/>
  <c r="AI40" i="12" s="1"/>
  <c r="M218" i="29"/>
  <c r="I75" i="26"/>
  <c r="U56" i="12" s="1"/>
  <c r="L64" i="32"/>
  <c r="AK45" i="33" s="1"/>
  <c r="N53" i="32"/>
  <c r="N52" i="32"/>
  <c r="N54" i="32"/>
  <c r="E177" i="26"/>
  <c r="V77" i="12"/>
  <c r="I69" i="26"/>
  <c r="U50" i="12" s="1"/>
  <c r="AU29" i="12"/>
  <c r="BU29" i="12"/>
  <c r="AH29" i="12"/>
  <c r="U29" i="12"/>
  <c r="BH29" i="12"/>
  <c r="BH27" i="12"/>
  <c r="U27" i="12"/>
  <c r="BU27" i="12"/>
  <c r="AH27" i="12"/>
  <c r="AU27" i="12"/>
  <c r="V88" i="12"/>
  <c r="G58" i="27"/>
  <c r="AF39" i="12" s="1"/>
  <c r="G77" i="27"/>
  <c r="AF58" i="12" s="1"/>
  <c r="G71" i="27"/>
  <c r="AF52" i="12" s="1"/>
  <c r="G74" i="27"/>
  <c r="AF55" i="12" s="1"/>
  <c r="H66" i="27"/>
  <c r="AG31" i="12"/>
  <c r="H66" i="28"/>
  <c r="H64" i="26"/>
  <c r="T28" i="12"/>
  <c r="H64" i="28"/>
  <c r="AT28" i="12"/>
  <c r="G57" i="28"/>
  <c r="AS38" i="12" s="1"/>
  <c r="G70" i="28"/>
  <c r="AS51" i="12" s="1"/>
  <c r="G73" i="28"/>
  <c r="AS54" i="12" s="1"/>
  <c r="G76" i="28"/>
  <c r="AS57" i="12" s="1"/>
  <c r="G70" i="27"/>
  <c r="AF51" i="12" s="1"/>
  <c r="G73" i="27"/>
  <c r="AF54" i="12" s="1"/>
  <c r="G76" i="27"/>
  <c r="AF57" i="12" s="1"/>
  <c r="G57" i="27"/>
  <c r="AF38" i="12" s="1"/>
  <c r="G71" i="28"/>
  <c r="AS52" i="12" s="1"/>
  <c r="G77" i="28"/>
  <c r="AS58" i="12" s="1"/>
  <c r="G58" i="28"/>
  <c r="AS39" i="12" s="1"/>
  <c r="G74" i="28"/>
  <c r="AS55" i="12" s="1"/>
  <c r="G57" i="29"/>
  <c r="BF38" i="12" s="1"/>
  <c r="G76" i="29"/>
  <c r="BF57" i="12" s="1"/>
  <c r="G70" i="29"/>
  <c r="BF51" i="12" s="1"/>
  <c r="G73" i="29"/>
  <c r="BF54" i="12" s="1"/>
  <c r="G70" i="26"/>
  <c r="S51" i="12" s="1"/>
  <c r="G76" i="26"/>
  <c r="S57" i="12" s="1"/>
  <c r="G57" i="26"/>
  <c r="G73" i="26"/>
  <c r="S54" i="12" s="1"/>
  <c r="BG31" i="12"/>
  <c r="H66" i="29"/>
  <c r="H66" i="26"/>
  <c r="BG28" i="12"/>
  <c r="H64" i="29"/>
  <c r="H64" i="27"/>
  <c r="AG28" i="12"/>
  <c r="G58" i="29"/>
  <c r="BF39" i="12" s="1"/>
  <c r="G77" i="29"/>
  <c r="BF58" i="12" s="1"/>
  <c r="G74" i="29"/>
  <c r="BF55" i="12" s="1"/>
  <c r="G71" i="29"/>
  <c r="BF52" i="12" s="1"/>
  <c r="G74" i="26"/>
  <c r="S55" i="12" s="1"/>
  <c r="G71" i="26"/>
  <c r="S52" i="12" s="1"/>
  <c r="G58" i="26"/>
  <c r="S39" i="12" s="1"/>
  <c r="G77" i="26"/>
  <c r="S58" i="12" s="1"/>
  <c r="AV82" i="12"/>
  <c r="V140" i="12"/>
  <c r="J72" i="26"/>
  <c r="V53" i="12" s="1"/>
  <c r="AI140" i="12"/>
  <c r="I72" i="30"/>
  <c r="BU53" i="12" s="1"/>
  <c r="I69" i="30"/>
  <c r="BU50" i="12" s="1"/>
  <c r="I75" i="30"/>
  <c r="BU56" i="12" s="1"/>
  <c r="I56" i="30"/>
  <c r="V153" i="12"/>
  <c r="BV153" i="12"/>
  <c r="BV88" i="12"/>
  <c r="BV77" i="12"/>
  <c r="BI73" i="12"/>
  <c r="V73" i="12"/>
  <c r="AI82" i="12"/>
  <c r="AI153" i="12"/>
  <c r="BI140" i="12"/>
  <c r="AV140" i="12"/>
  <c r="AV153" i="12"/>
  <c r="AV77" i="12"/>
  <c r="J63" i="28"/>
  <c r="AV44" i="12" s="1"/>
  <c r="AI25" i="12"/>
  <c r="J63" i="27"/>
  <c r="AI44" i="12" s="1"/>
  <c r="J34" i="28"/>
  <c r="AJ125" i="12"/>
  <c r="D73" i="21"/>
  <c r="D64" i="21" s="1"/>
  <c r="E177" i="27"/>
  <c r="D71" i="21"/>
  <c r="J20" i="32"/>
  <c r="K33" i="26"/>
  <c r="W15" i="12" s="1"/>
  <c r="AJ128" i="12"/>
  <c r="U108" i="12"/>
  <c r="AH108" i="12"/>
  <c r="BH108" i="12"/>
  <c r="AU108" i="12"/>
  <c r="U64" i="12"/>
  <c r="AH64" i="12"/>
  <c r="AU64" i="12"/>
  <c r="BH64" i="12"/>
  <c r="U111" i="12"/>
  <c r="AH111" i="12"/>
  <c r="AU111" i="12"/>
  <c r="BH111" i="12"/>
  <c r="U107" i="12"/>
  <c r="AH107" i="12"/>
  <c r="AU107" i="12"/>
  <c r="BH107" i="12"/>
  <c r="BV82" i="12"/>
  <c r="AW61" i="12"/>
  <c r="AW66" i="12"/>
  <c r="AW75" i="12"/>
  <c r="AW80" i="12"/>
  <c r="AW86" i="12"/>
  <c r="AW105" i="12"/>
  <c r="AW63" i="12"/>
  <c r="AW81" i="12"/>
  <c r="AW100" i="12"/>
  <c r="AW114" i="12"/>
  <c r="AW120" i="12"/>
  <c r="AW129" i="12"/>
  <c r="AW133" i="12"/>
  <c r="AW137" i="12"/>
  <c r="AW149" i="12"/>
  <c r="AW79" i="12"/>
  <c r="AW130" i="12"/>
  <c r="AW138" i="12"/>
  <c r="AW152" i="12"/>
  <c r="AW136" i="12"/>
  <c r="AW150" i="12"/>
  <c r="AW59" i="12"/>
  <c r="AW72" i="12"/>
  <c r="AW78" i="12"/>
  <c r="AW84" i="12"/>
  <c r="AW89" i="12"/>
  <c r="AW103" i="12"/>
  <c r="AW32" i="12"/>
  <c r="AW85" i="12"/>
  <c r="AW131" i="12"/>
  <c r="AW135" i="12"/>
  <c r="AW139" i="12"/>
  <c r="AW151" i="12"/>
  <c r="AW119" i="12"/>
  <c r="AW134" i="12"/>
  <c r="AW148" i="12"/>
  <c r="AW23" i="12"/>
  <c r="AW60" i="12"/>
  <c r="AW83" i="12"/>
  <c r="AW132" i="12"/>
  <c r="W23" i="12"/>
  <c r="W59" i="12"/>
  <c r="W63" i="12"/>
  <c r="W79" i="12"/>
  <c r="W84" i="12"/>
  <c r="W89" i="12"/>
  <c r="W103" i="12"/>
  <c r="AJ23" i="12"/>
  <c r="AJ59" i="12"/>
  <c r="AJ72" i="12"/>
  <c r="AJ63" i="12"/>
  <c r="AJ80" i="12"/>
  <c r="AJ85" i="12"/>
  <c r="AJ89" i="12"/>
  <c r="AJ100" i="12"/>
  <c r="AJ120" i="12"/>
  <c r="AJ129" i="12"/>
  <c r="AJ75" i="12"/>
  <c r="AJ84" i="12"/>
  <c r="AJ105" i="12"/>
  <c r="AJ130" i="12"/>
  <c r="AJ134" i="12"/>
  <c r="AJ138" i="12"/>
  <c r="AJ148" i="12"/>
  <c r="AJ152" i="12"/>
  <c r="AJ137" i="12"/>
  <c r="AJ149" i="12"/>
  <c r="AJ60" i="12"/>
  <c r="AJ103" i="12"/>
  <c r="AJ131" i="12"/>
  <c r="AJ151" i="12"/>
  <c r="AJ119" i="12"/>
  <c r="AJ32" i="12"/>
  <c r="AJ61" i="12"/>
  <c r="AJ66" i="12"/>
  <c r="W133" i="12"/>
  <c r="W120" i="12"/>
  <c r="W87" i="12"/>
  <c r="W78" i="12"/>
  <c r="W152" i="12"/>
  <c r="W139" i="12"/>
  <c r="W131" i="12"/>
  <c r="W100" i="12"/>
  <c r="W80" i="12"/>
  <c r="W72" i="12"/>
  <c r="W149" i="12"/>
  <c r="W136" i="12"/>
  <c r="W132" i="12"/>
  <c r="W81" i="12"/>
  <c r="W61" i="12"/>
  <c r="AJ135" i="12"/>
  <c r="AJ139" i="12"/>
  <c r="AJ86" i="12"/>
  <c r="AJ150" i="12"/>
  <c r="AJ136" i="12"/>
  <c r="AJ114" i="12"/>
  <c r="AJ87" i="12"/>
  <c r="AJ78" i="12"/>
  <c r="AH112" i="12"/>
  <c r="U112" i="12"/>
  <c r="AU112" i="12"/>
  <c r="BH112" i="12"/>
  <c r="U110" i="12"/>
  <c r="AH110" i="12"/>
  <c r="AU110" i="12"/>
  <c r="BH110" i="12"/>
  <c r="U109" i="12"/>
  <c r="AH109" i="12"/>
  <c r="BH109" i="12"/>
  <c r="AU109" i="12"/>
  <c r="BV140" i="12"/>
  <c r="BW61" i="12"/>
  <c r="BW66" i="12"/>
  <c r="BW74" i="12"/>
  <c r="BW60" i="12"/>
  <c r="BW81" i="12"/>
  <c r="BW86" i="12"/>
  <c r="BW119" i="12"/>
  <c r="BW130" i="12"/>
  <c r="BW134" i="12"/>
  <c r="BW138" i="12"/>
  <c r="BW148" i="12"/>
  <c r="BW152" i="12"/>
  <c r="BW63" i="12"/>
  <c r="BW78" i="12"/>
  <c r="BW83" i="12"/>
  <c r="BW87" i="12"/>
  <c r="BW114" i="12"/>
  <c r="BW129" i="12"/>
  <c r="BW137" i="12"/>
  <c r="BW151" i="12"/>
  <c r="BW131" i="12"/>
  <c r="BW139" i="12"/>
  <c r="BW23" i="12"/>
  <c r="BW59" i="12"/>
  <c r="BW72" i="12"/>
  <c r="BW32" i="12"/>
  <c r="BW79" i="12"/>
  <c r="BW84" i="12"/>
  <c r="BW103" i="12"/>
  <c r="BW132" i="12"/>
  <c r="BW136" i="12"/>
  <c r="BW150" i="12"/>
  <c r="BW75" i="12"/>
  <c r="BW80" i="12"/>
  <c r="BW85" i="12"/>
  <c r="BW89" i="12"/>
  <c r="BW100" i="12"/>
  <c r="BW133" i="12"/>
  <c r="BW120" i="12"/>
  <c r="BW135" i="12"/>
  <c r="BW149" i="12"/>
  <c r="BJ61" i="12"/>
  <c r="BJ66" i="12"/>
  <c r="BJ75" i="12"/>
  <c r="BJ80" i="12"/>
  <c r="BJ86" i="12"/>
  <c r="BJ131" i="12"/>
  <c r="BJ135" i="12"/>
  <c r="BJ139" i="12"/>
  <c r="BJ151" i="12"/>
  <c r="BJ63" i="12"/>
  <c r="BJ81" i="12"/>
  <c r="BJ87" i="12"/>
  <c r="BJ130" i="12"/>
  <c r="BJ138" i="12"/>
  <c r="BJ152" i="12"/>
  <c r="BJ26" i="12"/>
  <c r="BJ60" i="12"/>
  <c r="BJ79" i="12"/>
  <c r="BJ119" i="12"/>
  <c r="BJ132" i="12"/>
  <c r="BJ32" i="12"/>
  <c r="BJ59" i="12"/>
  <c r="BJ72" i="12"/>
  <c r="BJ78" i="12"/>
  <c r="BJ84" i="12"/>
  <c r="BJ100" i="12"/>
  <c r="BJ120" i="12"/>
  <c r="BJ129" i="12"/>
  <c r="BJ133" i="12"/>
  <c r="BJ137" i="12"/>
  <c r="BJ149" i="12"/>
  <c r="BJ74" i="12"/>
  <c r="BJ83" i="12"/>
  <c r="BJ89" i="12"/>
  <c r="BJ114" i="12"/>
  <c r="BJ134" i="12"/>
  <c r="BJ148" i="12"/>
  <c r="BJ23" i="12"/>
  <c r="BJ85" i="12"/>
  <c r="BJ103" i="12"/>
  <c r="BJ136" i="12"/>
  <c r="BJ150" i="12"/>
  <c r="W150" i="12"/>
  <c r="W137" i="12"/>
  <c r="W129" i="12"/>
  <c r="W114" i="12"/>
  <c r="W83" i="12"/>
  <c r="W26" i="12"/>
  <c r="W148" i="12"/>
  <c r="W135" i="12"/>
  <c r="W85" i="12"/>
  <c r="W74" i="12"/>
  <c r="W60" i="12"/>
  <c r="W151" i="12"/>
  <c r="W138" i="12"/>
  <c r="W134" i="12"/>
  <c r="W130" i="12"/>
  <c r="W119" i="12"/>
  <c r="W105" i="12"/>
  <c r="W86" i="12"/>
  <c r="W75" i="12"/>
  <c r="AJ79" i="12"/>
  <c r="AJ133" i="12"/>
  <c r="AJ132" i="12"/>
  <c r="AJ81" i="12"/>
  <c r="AJ83" i="12"/>
  <c r="BY128" i="12"/>
  <c r="BY98" i="12"/>
  <c r="I69" i="28"/>
  <c r="AU50" i="12" s="1"/>
  <c r="I56" i="28"/>
  <c r="AU37" i="12" s="1"/>
  <c r="I75" i="28"/>
  <c r="AU56" i="12" s="1"/>
  <c r="I72" i="28"/>
  <c r="AU53" i="12" s="1"/>
  <c r="BI153" i="12"/>
  <c r="BI82" i="12"/>
  <c r="I72" i="29"/>
  <c r="BH53" i="12" s="1"/>
  <c r="I56" i="29"/>
  <c r="BH37" i="12" s="1"/>
  <c r="I75" i="29"/>
  <c r="BH56" i="12" s="1"/>
  <c r="I69" i="29"/>
  <c r="BH50" i="12" s="1"/>
  <c r="V82" i="12"/>
  <c r="T113" i="12"/>
  <c r="AG113" i="12"/>
  <c r="AJ98" i="12"/>
  <c r="AJ118" i="12"/>
  <c r="AW94" i="12"/>
  <c r="AW98" i="12"/>
  <c r="AW118" i="12"/>
  <c r="BY118" i="12"/>
  <c r="BI25" i="12"/>
  <c r="J60" i="29"/>
  <c r="BI88" i="12"/>
  <c r="J63" i="26"/>
  <c r="V44" i="12" s="1"/>
  <c r="BG113" i="12"/>
  <c r="AT113" i="12"/>
  <c r="AX95" i="12"/>
  <c r="AX116" i="12"/>
  <c r="AX123" i="12"/>
  <c r="AX146" i="12"/>
  <c r="AX70" i="12"/>
  <c r="AX99" i="12"/>
  <c r="AX117" i="12"/>
  <c r="AX124" i="12"/>
  <c r="AX145" i="12"/>
  <c r="L184" i="32"/>
  <c r="L184" i="28"/>
  <c r="L184" i="30"/>
  <c r="L78" i="30" s="1"/>
  <c r="L184" i="27"/>
  <c r="L184" i="29"/>
  <c r="L184" i="26"/>
  <c r="AK69" i="12"/>
  <c r="AK90" i="12"/>
  <c r="AK92" i="12"/>
  <c r="AK95" i="12"/>
  <c r="AK97" i="12"/>
  <c r="AK123" i="12"/>
  <c r="AK127" i="12"/>
  <c r="AK70" i="12"/>
  <c r="AK91" i="12"/>
  <c r="AK96" i="12"/>
  <c r="AK115" i="12"/>
  <c r="AK122" i="12"/>
  <c r="AK147" i="12"/>
  <c r="AK117" i="12"/>
  <c r="AK124" i="12"/>
  <c r="X90" i="12"/>
  <c r="X95" i="12"/>
  <c r="X101" i="12"/>
  <c r="X91" i="12"/>
  <c r="X96" i="12"/>
  <c r="X115" i="12"/>
  <c r="X121" i="12"/>
  <c r="BL90" i="12"/>
  <c r="BL122" i="12"/>
  <c r="BL145" i="12"/>
  <c r="BL93" i="12"/>
  <c r="BL121" i="12"/>
  <c r="BZ68" i="12"/>
  <c r="BZ93" i="12"/>
  <c r="BZ96" i="12"/>
  <c r="BZ122" i="12"/>
  <c r="BZ70" i="12"/>
  <c r="BZ99" i="12"/>
  <c r="BZ101" i="12"/>
  <c r="BZ117" i="12"/>
  <c r="BZ123" i="12"/>
  <c r="J63" i="30"/>
  <c r="BV44" i="12" s="1"/>
  <c r="BV25" i="12"/>
  <c r="J61" i="30"/>
  <c r="AW125" i="12"/>
  <c r="J17" i="32"/>
  <c r="D44" i="21"/>
  <c r="E67" i="21"/>
  <c r="P205" i="26"/>
  <c r="P18" i="4" s="1"/>
  <c r="O9" i="28"/>
  <c r="O11" i="29"/>
  <c r="O205" i="27"/>
  <c r="O29" i="4" s="1"/>
  <c r="J34" i="26"/>
  <c r="J19" i="32"/>
  <c r="BA171" i="12"/>
  <c r="M24" i="21"/>
  <c r="N210" i="27"/>
  <c r="N46" i="27" s="1"/>
  <c r="N211" i="27"/>
  <c r="N209" i="27"/>
  <c r="N43" i="27" s="1"/>
  <c r="N212" i="27"/>
  <c r="N213" i="27"/>
  <c r="N214" i="27"/>
  <c r="N215" i="27"/>
  <c r="N216" i="27"/>
  <c r="N217" i="27"/>
  <c r="N209" i="28"/>
  <c r="N211" i="28"/>
  <c r="N215" i="28"/>
  <c r="N216" i="28"/>
  <c r="N212" i="28"/>
  <c r="N214" i="28"/>
  <c r="N210" i="28"/>
  <c r="N46" i="28" s="1"/>
  <c r="N217" i="28"/>
  <c r="N213" i="28"/>
  <c r="P11" i="28"/>
  <c r="N218" i="30"/>
  <c r="P209" i="26"/>
  <c r="P212" i="26"/>
  <c r="N213" i="29"/>
  <c r="N215" i="29"/>
  <c r="N211" i="29"/>
  <c r="N212" i="29"/>
  <c r="N209" i="29"/>
  <c r="N216" i="29"/>
  <c r="N210" i="29"/>
  <c r="N46" i="29" s="1"/>
  <c r="N214" i="29"/>
  <c r="N217" i="29"/>
  <c r="O5" i="29"/>
  <c r="O213" i="30"/>
  <c r="O210" i="30"/>
  <c r="O46" i="30" s="1"/>
  <c r="O215" i="30"/>
  <c r="O216" i="30"/>
  <c r="O212" i="30"/>
  <c r="O214" i="30"/>
  <c r="O211" i="30"/>
  <c r="O209" i="30"/>
  <c r="O217" i="30"/>
  <c r="P5" i="30"/>
  <c r="N214" i="32"/>
  <c r="N216" i="32"/>
  <c r="N213" i="32"/>
  <c r="N209" i="32"/>
  <c r="N215" i="32"/>
  <c r="N212" i="32"/>
  <c r="N211" i="32"/>
  <c r="N217" i="32"/>
  <c r="N210" i="32"/>
  <c r="O5" i="32"/>
  <c r="P204" i="27"/>
  <c r="L18" i="29"/>
  <c r="L33" i="29" s="1"/>
  <c r="BK15" i="12" s="1"/>
  <c r="M218" i="28"/>
  <c r="L20" i="27"/>
  <c r="L19" i="27"/>
  <c r="L17" i="27"/>
  <c r="J34" i="27"/>
  <c r="W12" i="12"/>
  <c r="P205" i="28"/>
  <c r="P40" i="4" s="1"/>
  <c r="BB169" i="12"/>
  <c r="M171" i="33"/>
  <c r="O5" i="28"/>
  <c r="O5" i="27"/>
  <c r="L36" i="21"/>
  <c r="M218" i="27"/>
  <c r="AN169" i="12"/>
  <c r="N169" i="12" s="1"/>
  <c r="AO170" i="12"/>
  <c r="O170" i="12" s="1"/>
  <c r="L169" i="33"/>
  <c r="L171" i="33" s="1"/>
  <c r="Y171" i="33"/>
  <c r="P9" i="27"/>
  <c r="O11" i="32"/>
  <c r="P11" i="26"/>
  <c r="Z171" i="33"/>
  <c r="N168" i="33"/>
  <c r="W7" i="12"/>
  <c r="AB169" i="12"/>
  <c r="O9" i="32"/>
  <c r="K26" i="26"/>
  <c r="W8" i="12" s="1"/>
  <c r="W9" i="12"/>
  <c r="N12" i="4"/>
  <c r="N181" i="26" s="1"/>
  <c r="N6" i="4"/>
  <c r="M7" i="4"/>
  <c r="M8" i="4" s="1"/>
  <c r="M184" i="34" s="1"/>
  <c r="H100" i="33"/>
  <c r="BK12" i="12"/>
  <c r="BK7" i="12"/>
  <c r="BK8" i="12"/>
  <c r="BK9" i="12"/>
  <c r="M182" i="28"/>
  <c r="M113" i="28" s="1"/>
  <c r="K34" i="29"/>
  <c r="K182" i="32"/>
  <c r="K113" i="32" s="1"/>
  <c r="AJ93" i="33" s="1"/>
  <c r="F176" i="32"/>
  <c r="AE156" i="33" s="1"/>
  <c r="E70" i="21" s="1"/>
  <c r="X165" i="33"/>
  <c r="L17" i="26"/>
  <c r="L23" i="26" s="1"/>
  <c r="L83" i="26" s="1"/>
  <c r="L20" i="26"/>
  <c r="L19" i="26"/>
  <c r="L19" i="28"/>
  <c r="L17" i="28"/>
  <c r="L20" i="28"/>
  <c r="L180" i="32"/>
  <c r="X164" i="33"/>
  <c r="K164" i="33" s="1"/>
  <c r="N38" i="21"/>
  <c r="BN165" i="12"/>
  <c r="P168" i="15"/>
  <c r="O181" i="29"/>
  <c r="N181" i="29"/>
  <c r="N182" i="29" s="1"/>
  <c r="N113" i="29" s="1"/>
  <c r="O168" i="15"/>
  <c r="O171" i="15" s="1"/>
  <c r="BM165" i="12"/>
  <c r="P180" i="30"/>
  <c r="CB164" i="12"/>
  <c r="CA165" i="12"/>
  <c r="O181" i="30"/>
  <c r="O182" i="30" s="1"/>
  <c r="O113" i="30" s="1"/>
  <c r="AM164" i="12"/>
  <c r="N180" i="27"/>
  <c r="O22" i="4"/>
  <c r="AN166" i="12"/>
  <c r="N18" i="21" s="1"/>
  <c r="AW12" i="12"/>
  <c r="K18" i="28"/>
  <c r="K33" i="28" s="1"/>
  <c r="AW15" i="12" s="1"/>
  <c r="AW7" i="12"/>
  <c r="AW9" i="12"/>
  <c r="AW8" i="12"/>
  <c r="Y165" i="12"/>
  <c r="M181" i="26"/>
  <c r="M182" i="26" s="1"/>
  <c r="N284" i="15"/>
  <c r="N412" i="15" s="1"/>
  <c r="N280" i="15"/>
  <c r="N408" i="15" s="1"/>
  <c r="N276" i="15"/>
  <c r="N404" i="15" s="1"/>
  <c r="AZ165" i="12"/>
  <c r="N181" i="28"/>
  <c r="O33" i="4"/>
  <c r="BA166" i="12"/>
  <c r="N19" i="21" s="1"/>
  <c r="BJ6" i="12"/>
  <c r="M17" i="21"/>
  <c r="N185" i="32"/>
  <c r="N95" i="32" s="1"/>
  <c r="AM76" i="33" s="1"/>
  <c r="O11" i="4"/>
  <c r="AA166" i="12"/>
  <c r="L35" i="21"/>
  <c r="N17" i="30"/>
  <c r="N23" i="30" s="1"/>
  <c r="N83" i="30" s="1"/>
  <c r="N35" i="32" s="1"/>
  <c r="N19" i="30"/>
  <c r="N20" i="30"/>
  <c r="J165" i="33"/>
  <c r="J166" i="33" s="1"/>
  <c r="W166" i="33"/>
  <c r="I26" i="32"/>
  <c r="I18" i="32"/>
  <c r="I33" i="32" s="1"/>
  <c r="G153" i="33"/>
  <c r="BO166" i="12"/>
  <c r="O20" i="21" s="1"/>
  <c r="BN164" i="12"/>
  <c r="O180" i="29"/>
  <c r="P167" i="15"/>
  <c r="M20" i="29"/>
  <c r="M17" i="29"/>
  <c r="M19" i="29"/>
  <c r="N218" i="26"/>
  <c r="M36" i="21"/>
  <c r="N23" i="4"/>
  <c r="AL165" i="12"/>
  <c r="M181" i="27"/>
  <c r="M182" i="27" s="1"/>
  <c r="AJ8" i="12"/>
  <c r="AJ9" i="12"/>
  <c r="AJ12" i="12"/>
  <c r="K18" i="27"/>
  <c r="K33" i="27" s="1"/>
  <c r="AJ15" i="12" s="1"/>
  <c r="AJ7" i="12"/>
  <c r="BY8" i="12"/>
  <c r="BY9" i="12"/>
  <c r="BY12" i="12"/>
  <c r="M18" i="30"/>
  <c r="M33" i="30" s="1"/>
  <c r="BY15" i="12" s="1"/>
  <c r="BY7" i="12"/>
  <c r="M37" i="21"/>
  <c r="AZ164" i="12"/>
  <c r="N180" i="28"/>
  <c r="J218" i="32"/>
  <c r="O290" i="15"/>
  <c r="O418" i="15" s="1"/>
  <c r="O275" i="15"/>
  <c r="O403" i="15" s="1"/>
  <c r="O283" i="15"/>
  <c r="O411" i="15" s="1"/>
  <c r="O279" i="15"/>
  <c r="O407" i="15" s="1"/>
  <c r="O292" i="15"/>
  <c r="O420" i="15" s="1"/>
  <c r="N171" i="15"/>
  <c r="Z164" i="12"/>
  <c r="N180" i="26"/>
  <c r="L33" i="21"/>
  <c r="P216" i="26" l="1"/>
  <c r="P210" i="26"/>
  <c r="P46" i="26" s="1"/>
  <c r="P215" i="26"/>
  <c r="P211" i="26"/>
  <c r="P213" i="26"/>
  <c r="P217" i="26"/>
  <c r="L138" i="28"/>
  <c r="L26" i="28"/>
  <c r="L29" i="28" s="1"/>
  <c r="L23" i="28"/>
  <c r="L26" i="27"/>
  <c r="L29" i="27" s="1"/>
  <c r="L23" i="27"/>
  <c r="L83" i="27" s="1"/>
  <c r="M42" i="27"/>
  <c r="M44" i="27" s="1"/>
  <c r="M48" i="27"/>
  <c r="M50" i="27" s="1"/>
  <c r="M137" i="27"/>
  <c r="AL117" i="12" s="1"/>
  <c r="M45" i="27"/>
  <c r="M47" i="27" s="1"/>
  <c r="M136" i="27"/>
  <c r="M113" i="27"/>
  <c r="D62" i="21"/>
  <c r="D61" i="21"/>
  <c r="M42" i="26"/>
  <c r="M44" i="26" s="1"/>
  <c r="M48" i="26"/>
  <c r="M50" i="26" s="1"/>
  <c r="M45" i="26"/>
  <c r="M47" i="26" s="1"/>
  <c r="M113" i="26"/>
  <c r="Y93" i="12" s="1"/>
  <c r="AM63" i="33"/>
  <c r="J93" i="33"/>
  <c r="G53" i="33"/>
  <c r="G56" i="33"/>
  <c r="H26" i="33"/>
  <c r="G50" i="33"/>
  <c r="H23" i="33"/>
  <c r="G41" i="33"/>
  <c r="G43" i="33"/>
  <c r="N49" i="32"/>
  <c r="AM30" i="33" s="1"/>
  <c r="I6" i="12"/>
  <c r="J23" i="32" s="1"/>
  <c r="J83" i="32" s="1"/>
  <c r="AI64" i="33" s="1"/>
  <c r="N46" i="32"/>
  <c r="AM27" i="33" s="1"/>
  <c r="M26" i="29"/>
  <c r="BL8" i="12" s="1"/>
  <c r="M23" i="29"/>
  <c r="O42" i="30"/>
  <c r="O44" i="30" s="1"/>
  <c r="O45" i="30"/>
  <c r="O47" i="30" s="1"/>
  <c r="O48" i="30"/>
  <c r="O50" i="30" s="1"/>
  <c r="N118" i="30"/>
  <c r="N84" i="30"/>
  <c r="J50" i="32"/>
  <c r="AI29" i="33"/>
  <c r="J66" i="32"/>
  <c r="AH44" i="33"/>
  <c r="H44" i="33" s="1"/>
  <c r="I65" i="32"/>
  <c r="AH46" i="33" s="1"/>
  <c r="AH28" i="33"/>
  <c r="I73" i="32"/>
  <c r="AH54" i="33" s="1"/>
  <c r="I70" i="32"/>
  <c r="AH51" i="33" s="1"/>
  <c r="I76" i="32"/>
  <c r="AH57" i="33" s="1"/>
  <c r="I57" i="32"/>
  <c r="AH38" i="33" s="1"/>
  <c r="AH41" i="33"/>
  <c r="I62" i="32"/>
  <c r="AH43" i="33" s="1"/>
  <c r="AH47" i="33"/>
  <c r="I68" i="32"/>
  <c r="J47" i="32"/>
  <c r="AI26" i="33"/>
  <c r="J63" i="32"/>
  <c r="AH25" i="33"/>
  <c r="I75" i="32"/>
  <c r="AH56" i="33" s="1"/>
  <c r="I72" i="32"/>
  <c r="AH53" i="33" s="1"/>
  <c r="I56" i="32"/>
  <c r="AH37" i="33" s="1"/>
  <c r="I69" i="32"/>
  <c r="AH50" i="33" s="1"/>
  <c r="AH31" i="33"/>
  <c r="I71" i="32"/>
  <c r="AH52" i="33" s="1"/>
  <c r="I58" i="32"/>
  <c r="AH39" i="33" s="1"/>
  <c r="I74" i="32"/>
  <c r="AH55" i="33" s="1"/>
  <c r="I77" i="32"/>
  <c r="AH58" i="33" s="1"/>
  <c r="I55" i="32"/>
  <c r="AH36" i="33" s="1"/>
  <c r="K48" i="32"/>
  <c r="K42" i="32"/>
  <c r="K45" i="32"/>
  <c r="J44" i="32"/>
  <c r="AI23" i="33"/>
  <c r="J60" i="32"/>
  <c r="AG49" i="33"/>
  <c r="H81" i="32"/>
  <c r="AG62" i="33" s="1"/>
  <c r="M136" i="28"/>
  <c r="M45" i="28"/>
  <c r="M47" i="28" s="1"/>
  <c r="M137" i="28"/>
  <c r="M48" i="28"/>
  <c r="M50" i="28" s="1"/>
  <c r="M42" i="28"/>
  <c r="M44" i="28" s="1"/>
  <c r="D106" i="21"/>
  <c r="D47" i="21"/>
  <c r="O24" i="34"/>
  <c r="CN6" i="12" s="1"/>
  <c r="O83" i="34"/>
  <c r="L84" i="29"/>
  <c r="BK65" i="12" s="1"/>
  <c r="L24" i="29"/>
  <c r="BK6" i="12" s="1"/>
  <c r="K84" i="26"/>
  <c r="K24" i="26"/>
  <c r="K84" i="28"/>
  <c r="K24" i="28"/>
  <c r="AW6" i="12" s="1"/>
  <c r="K84" i="27"/>
  <c r="AJ65" i="12" s="1"/>
  <c r="K24" i="27"/>
  <c r="AJ6" i="12" s="1"/>
  <c r="BY65" i="12"/>
  <c r="M24" i="30"/>
  <c r="M29" i="30"/>
  <c r="M108" i="29"/>
  <c r="M29" i="29"/>
  <c r="N48" i="29"/>
  <c r="N50" i="29" s="1"/>
  <c r="N42" i="29"/>
  <c r="N44" i="29" s="1"/>
  <c r="N45" i="29"/>
  <c r="N47" i="29" s="1"/>
  <c r="L148" i="26"/>
  <c r="X128" i="12" s="1"/>
  <c r="X126" i="12"/>
  <c r="K55" i="26"/>
  <c r="M136" i="26"/>
  <c r="M137" i="26"/>
  <c r="N136" i="29"/>
  <c r="N137" i="29"/>
  <c r="I5" i="12"/>
  <c r="V5" i="33" s="1"/>
  <c r="G16" i="33"/>
  <c r="D69" i="21"/>
  <c r="D59" i="21" s="1"/>
  <c r="AX115" i="12"/>
  <c r="D115" i="21"/>
  <c r="M138" i="29"/>
  <c r="BL118" i="12" s="1"/>
  <c r="E65" i="21"/>
  <c r="G65" i="33"/>
  <c r="J96" i="12"/>
  <c r="W96" i="33" s="1"/>
  <c r="J96" i="33" s="1"/>
  <c r="M133" i="29"/>
  <c r="L55" i="29"/>
  <c r="N85" i="29"/>
  <c r="M82" i="28"/>
  <c r="L126" i="27"/>
  <c r="L108" i="26"/>
  <c r="L145" i="26"/>
  <c r="M125" i="26"/>
  <c r="O140" i="32"/>
  <c r="AN120" i="33" s="1"/>
  <c r="O125" i="32"/>
  <c r="O28" i="32" s="1"/>
  <c r="AJ5" i="12"/>
  <c r="H7" i="33"/>
  <c r="N25" i="30"/>
  <c r="BZ7" i="12" s="1"/>
  <c r="N27" i="30"/>
  <c r="N30" i="30"/>
  <c r="BZ12" i="12" s="1"/>
  <c r="N26" i="30"/>
  <c r="J26" i="32"/>
  <c r="AI8" i="33" s="1"/>
  <c r="I8" i="33" s="1"/>
  <c r="J25" i="32"/>
  <c r="AI7" i="33" s="1"/>
  <c r="J30" i="32"/>
  <c r="AI12" i="33" s="1"/>
  <c r="I12" i="33" s="1"/>
  <c r="J27" i="32"/>
  <c r="AI9" i="33" s="1"/>
  <c r="I9" i="33" s="1"/>
  <c r="O137" i="30"/>
  <c r="O163" i="30"/>
  <c r="O136" i="30"/>
  <c r="CA116" i="12" s="1"/>
  <c r="K55" i="28"/>
  <c r="L101" i="28"/>
  <c r="M118" i="29"/>
  <c r="BL98" i="12" s="1"/>
  <c r="N101" i="30"/>
  <c r="P8" i="11"/>
  <c r="Q23" i="15"/>
  <c r="Q25" i="15" s="1"/>
  <c r="O84" i="34"/>
  <c r="CN65" i="12" s="1"/>
  <c r="CN5" i="12"/>
  <c r="W5" i="12"/>
  <c r="AW5" i="12"/>
  <c r="P53" i="15"/>
  <c r="P145" i="15"/>
  <c r="O146" i="15"/>
  <c r="O152" i="15"/>
  <c r="G6" i="33"/>
  <c r="L126" i="28"/>
  <c r="D21" i="12"/>
  <c r="Q21" i="33" s="1"/>
  <c r="L148" i="27"/>
  <c r="G37" i="12"/>
  <c r="T37" i="33" s="1"/>
  <c r="G37" i="33" s="1"/>
  <c r="K55" i="27"/>
  <c r="L133" i="27"/>
  <c r="J76" i="12"/>
  <c r="W76" i="33" s="1"/>
  <c r="J76" i="33" s="1"/>
  <c r="M110" i="27"/>
  <c r="M103" i="27"/>
  <c r="M112" i="27"/>
  <c r="AL92" i="12" s="1"/>
  <c r="M82" i="27"/>
  <c r="M111" i="27"/>
  <c r="AL91" i="12" s="1"/>
  <c r="M171" i="27"/>
  <c r="M166" i="27"/>
  <c r="M117" i="27"/>
  <c r="M169" i="27"/>
  <c r="M172" i="27"/>
  <c r="M115" i="27"/>
  <c r="AL95" i="12" s="1"/>
  <c r="M167" i="27"/>
  <c r="AL147" i="12" s="1"/>
  <c r="M170" i="27"/>
  <c r="M116" i="27"/>
  <c r="AL96" i="12" s="1"/>
  <c r="M168" i="27"/>
  <c r="M153" i="27"/>
  <c r="M156" i="27"/>
  <c r="M151" i="27"/>
  <c r="M159" i="27"/>
  <c r="M154" i="27"/>
  <c r="M149" i="27"/>
  <c r="M157" i="27"/>
  <c r="M152" i="27"/>
  <c r="M155" i="27"/>
  <c r="M141" i="27"/>
  <c r="M146" i="27"/>
  <c r="AL126" i="12" s="1"/>
  <c r="M144" i="27"/>
  <c r="AL124" i="12" s="1"/>
  <c r="M165" i="27"/>
  <c r="M139" i="27"/>
  <c r="M134" i="27"/>
  <c r="M142" i="27"/>
  <c r="M147" i="27"/>
  <c r="M150" i="27"/>
  <c r="M140" i="27"/>
  <c r="M158" i="27"/>
  <c r="M143" i="27"/>
  <c r="M128" i="27"/>
  <c r="M131" i="27"/>
  <c r="M129" i="27"/>
  <c r="M132" i="27"/>
  <c r="M135" i="27"/>
  <c r="M127" i="27"/>
  <c r="M130" i="27"/>
  <c r="M121" i="27"/>
  <c r="M90" i="27"/>
  <c r="M122" i="27"/>
  <c r="M98" i="27"/>
  <c r="M105" i="27"/>
  <c r="M125" i="27"/>
  <c r="M28" i="27" s="1"/>
  <c r="M119" i="27"/>
  <c r="AL99" i="12" s="1"/>
  <c r="M91" i="27"/>
  <c r="M102" i="27"/>
  <c r="M123" i="27"/>
  <c r="M93" i="27"/>
  <c r="M99" i="27"/>
  <c r="M106" i="27"/>
  <c r="M120" i="27"/>
  <c r="M109" i="27"/>
  <c r="M97" i="27"/>
  <c r="M104" i="27"/>
  <c r="M107" i="27"/>
  <c r="M100" i="27"/>
  <c r="M94" i="27"/>
  <c r="M124" i="27"/>
  <c r="AL104" i="12" s="1"/>
  <c r="M86" i="27"/>
  <c r="M53" i="27"/>
  <c r="M78" i="27"/>
  <c r="M89" i="27"/>
  <c r="M79" i="27"/>
  <c r="M51" i="27"/>
  <c r="M87" i="27"/>
  <c r="M54" i="27"/>
  <c r="M80" i="27"/>
  <c r="M85" i="27"/>
  <c r="M52" i="27"/>
  <c r="M88" i="27"/>
  <c r="M82" i="26"/>
  <c r="M111" i="26"/>
  <c r="M103" i="26"/>
  <c r="M112" i="26"/>
  <c r="Y92" i="12" s="1"/>
  <c r="M110" i="26"/>
  <c r="M169" i="26"/>
  <c r="M115" i="26"/>
  <c r="M172" i="26"/>
  <c r="M167" i="26"/>
  <c r="M170" i="26"/>
  <c r="M116" i="26"/>
  <c r="M165" i="26"/>
  <c r="Y145" i="12" s="1"/>
  <c r="M168" i="26"/>
  <c r="M117" i="26"/>
  <c r="Y97" i="12" s="1"/>
  <c r="M166" i="26"/>
  <c r="M171" i="26"/>
  <c r="M150" i="26"/>
  <c r="M153" i="26"/>
  <c r="M151" i="26"/>
  <c r="M155" i="26"/>
  <c r="M158" i="26"/>
  <c r="M156" i="26"/>
  <c r="M152" i="26"/>
  <c r="M159" i="26"/>
  <c r="M154" i="26"/>
  <c r="M149" i="26"/>
  <c r="M157" i="26"/>
  <c r="M134" i="26"/>
  <c r="M143" i="26"/>
  <c r="Y123" i="12" s="1"/>
  <c r="M147" i="26"/>
  <c r="M135" i="26"/>
  <c r="M141" i="26"/>
  <c r="Y121" i="12" s="1"/>
  <c r="M144" i="26"/>
  <c r="M142" i="26"/>
  <c r="M146" i="26"/>
  <c r="M127" i="26"/>
  <c r="M130" i="26"/>
  <c r="M129" i="26"/>
  <c r="M128" i="26"/>
  <c r="M131" i="26"/>
  <c r="M132" i="26"/>
  <c r="M122" i="26"/>
  <c r="M119" i="26"/>
  <c r="M28" i="26"/>
  <c r="M123" i="26"/>
  <c r="M120" i="26"/>
  <c r="M91" i="26"/>
  <c r="M124" i="26"/>
  <c r="Y104" i="12" s="1"/>
  <c r="M94" i="26"/>
  <c r="M97" i="26"/>
  <c r="M121" i="26"/>
  <c r="M98" i="26"/>
  <c r="M90" i="26"/>
  <c r="Y71" i="12" s="1"/>
  <c r="M93" i="26"/>
  <c r="M85" i="26"/>
  <c r="M105" i="26"/>
  <c r="M88" i="26"/>
  <c r="M54" i="26"/>
  <c r="M102" i="26"/>
  <c r="M86" i="26"/>
  <c r="M106" i="26"/>
  <c r="M89" i="26"/>
  <c r="Y70" i="12" s="1"/>
  <c r="M52" i="26"/>
  <c r="M99" i="26"/>
  <c r="M104" i="26"/>
  <c r="M109" i="26"/>
  <c r="M87" i="26"/>
  <c r="M107" i="26"/>
  <c r="M53" i="26"/>
  <c r="M100" i="26"/>
  <c r="M79" i="26"/>
  <c r="M78" i="26"/>
  <c r="M80" i="26"/>
  <c r="M140" i="26"/>
  <c r="M51" i="26"/>
  <c r="M139" i="26"/>
  <c r="AK7" i="12"/>
  <c r="AK5" i="12"/>
  <c r="AK9" i="12"/>
  <c r="L160" i="28"/>
  <c r="L114" i="28"/>
  <c r="L126" i="26"/>
  <c r="L118" i="26"/>
  <c r="X98" i="12" s="1"/>
  <c r="L114" i="26"/>
  <c r="X94" i="12" s="1"/>
  <c r="M92" i="29"/>
  <c r="M126" i="29"/>
  <c r="L101" i="27"/>
  <c r="N145" i="30"/>
  <c r="N133" i="30"/>
  <c r="N160" i="30"/>
  <c r="L173" i="28"/>
  <c r="BK5" i="12"/>
  <c r="M173" i="29"/>
  <c r="M160" i="29"/>
  <c r="L145" i="27"/>
  <c r="AK125" i="12" s="1"/>
  <c r="L160" i="27"/>
  <c r="M55" i="30"/>
  <c r="N92" i="30"/>
  <c r="BY5" i="12"/>
  <c r="AH8" i="33"/>
  <c r="H8" i="33" s="1"/>
  <c r="I29" i="32"/>
  <c r="AH11" i="33" s="1"/>
  <c r="L108" i="28"/>
  <c r="L148" i="28"/>
  <c r="AX128" i="12" s="1"/>
  <c r="L101" i="26"/>
  <c r="L92" i="26"/>
  <c r="L138" i="27"/>
  <c r="K96" i="28"/>
  <c r="N95" i="30"/>
  <c r="N96" i="30" s="1"/>
  <c r="N148" i="30"/>
  <c r="N173" i="30"/>
  <c r="N114" i="30"/>
  <c r="K146" i="12"/>
  <c r="X146" i="33" s="1"/>
  <c r="K112" i="32"/>
  <c r="K111" i="32"/>
  <c r="K110" i="32"/>
  <c r="L83" i="28"/>
  <c r="K96" i="27"/>
  <c r="AJ77" i="12" s="1"/>
  <c r="L160" i="26"/>
  <c r="M55" i="29"/>
  <c r="L92" i="27"/>
  <c r="L95" i="27"/>
  <c r="AK76" i="12" s="1"/>
  <c r="L173" i="27"/>
  <c r="N108" i="30"/>
  <c r="N103" i="29"/>
  <c r="N112" i="29"/>
  <c r="BM92" i="12" s="1"/>
  <c r="N110" i="29"/>
  <c r="BM90" i="12" s="1"/>
  <c r="N82" i="29"/>
  <c r="N111" i="29"/>
  <c r="BM91" i="12" s="1"/>
  <c r="N116" i="29"/>
  <c r="BM96" i="12" s="1"/>
  <c r="N171" i="29"/>
  <c r="N117" i="29"/>
  <c r="BM97" i="12" s="1"/>
  <c r="N166" i="29"/>
  <c r="BM146" i="12" s="1"/>
  <c r="N169" i="29"/>
  <c r="N172" i="29"/>
  <c r="N167" i="29"/>
  <c r="BM147" i="12" s="1"/>
  <c r="N170" i="29"/>
  <c r="N115" i="29"/>
  <c r="BM95" i="12" s="1"/>
  <c r="N168" i="29"/>
  <c r="N151" i="29"/>
  <c r="N159" i="29"/>
  <c r="N165" i="29"/>
  <c r="N154" i="29"/>
  <c r="N149" i="29"/>
  <c r="N157" i="29"/>
  <c r="N152" i="29"/>
  <c r="N155" i="29"/>
  <c r="N161" i="29"/>
  <c r="N150" i="29"/>
  <c r="N158" i="29"/>
  <c r="N163" i="29"/>
  <c r="N153" i="29"/>
  <c r="N134" i="29"/>
  <c r="N139" i="29"/>
  <c r="N142" i="29"/>
  <c r="BM122" i="12" s="1"/>
  <c r="N156" i="29"/>
  <c r="N135" i="29"/>
  <c r="BM115" i="12" s="1"/>
  <c r="N140" i="29"/>
  <c r="N141" i="29"/>
  <c r="N147" i="29"/>
  <c r="BM127" i="12" s="1"/>
  <c r="N129" i="29"/>
  <c r="N132" i="29"/>
  <c r="N127" i="29"/>
  <c r="N130" i="29"/>
  <c r="N143" i="29"/>
  <c r="BM123" i="12" s="1"/>
  <c r="N144" i="29"/>
  <c r="N146" i="29"/>
  <c r="N128" i="29"/>
  <c r="N131" i="29"/>
  <c r="N124" i="29"/>
  <c r="BM104" i="12" s="1"/>
  <c r="N120" i="29"/>
  <c r="N122" i="29"/>
  <c r="N125" i="29"/>
  <c r="N28" i="29" s="1"/>
  <c r="N121" i="29"/>
  <c r="N123" i="29"/>
  <c r="N119" i="29"/>
  <c r="BM99" i="12" s="1"/>
  <c r="N97" i="29"/>
  <c r="N104" i="29"/>
  <c r="N94" i="29"/>
  <c r="N100" i="29"/>
  <c r="N107" i="29"/>
  <c r="N98" i="29"/>
  <c r="N105" i="29"/>
  <c r="N90" i="29"/>
  <c r="BM71" i="12" s="1"/>
  <c r="N102" i="29"/>
  <c r="N93" i="29"/>
  <c r="N99" i="29"/>
  <c r="N106" i="29"/>
  <c r="BM93" i="12"/>
  <c r="N109" i="29"/>
  <c r="N51" i="29"/>
  <c r="N87" i="29"/>
  <c r="BM68" i="12" s="1"/>
  <c r="N54" i="29"/>
  <c r="N79" i="29"/>
  <c r="N52" i="29"/>
  <c r="N88" i="29"/>
  <c r="BM69" i="12" s="1"/>
  <c r="N91" i="29"/>
  <c r="N80" i="29"/>
  <c r="N86" i="29"/>
  <c r="N53" i="29"/>
  <c r="N78" i="29"/>
  <c r="N89" i="29"/>
  <c r="BM70" i="12" s="1"/>
  <c r="M111" i="28"/>
  <c r="AY91" i="12" s="1"/>
  <c r="M103" i="28"/>
  <c r="M110" i="28"/>
  <c r="M112" i="28"/>
  <c r="AY92" i="12" s="1"/>
  <c r="M141" i="28"/>
  <c r="AY121" i="12" s="1"/>
  <c r="M117" i="28"/>
  <c r="AY97" i="12" s="1"/>
  <c r="M116" i="28"/>
  <c r="AY96" i="12" s="1"/>
  <c r="M170" i="28"/>
  <c r="M165" i="28"/>
  <c r="AY145" i="12" s="1"/>
  <c r="M168" i="28"/>
  <c r="M171" i="28"/>
  <c r="M166" i="28"/>
  <c r="AY146" i="12" s="1"/>
  <c r="M169" i="28"/>
  <c r="M115" i="28"/>
  <c r="AY95" i="12" s="1"/>
  <c r="M167" i="28"/>
  <c r="AY147" i="12" s="1"/>
  <c r="M155" i="28"/>
  <c r="M172" i="28"/>
  <c r="M150" i="28"/>
  <c r="M158" i="28"/>
  <c r="M153" i="28"/>
  <c r="M156" i="28"/>
  <c r="M151" i="28"/>
  <c r="M159" i="28"/>
  <c r="M154" i="28"/>
  <c r="M149" i="28"/>
  <c r="M157" i="28"/>
  <c r="M142" i="28"/>
  <c r="M135" i="28"/>
  <c r="M138" i="28" s="1"/>
  <c r="M147" i="28"/>
  <c r="AY127" i="12" s="1"/>
  <c r="M143" i="28"/>
  <c r="AY123" i="12" s="1"/>
  <c r="M134" i="28"/>
  <c r="M144" i="28"/>
  <c r="AY124" i="12" s="1"/>
  <c r="M146" i="28"/>
  <c r="AY126" i="12" s="1"/>
  <c r="M127" i="28"/>
  <c r="M130" i="28"/>
  <c r="M128" i="28"/>
  <c r="M152" i="28"/>
  <c r="M131" i="28"/>
  <c r="M129" i="28"/>
  <c r="M132" i="28"/>
  <c r="M123" i="28"/>
  <c r="M93" i="28"/>
  <c r="M120" i="28"/>
  <c r="M91" i="28"/>
  <c r="M124" i="28"/>
  <c r="AY104" i="12" s="1"/>
  <c r="M94" i="28"/>
  <c r="M122" i="28"/>
  <c r="M121" i="28"/>
  <c r="AY101" i="12" s="1"/>
  <c r="M125" i="28"/>
  <c r="M28" i="28" s="1"/>
  <c r="M119" i="28"/>
  <c r="AY99" i="12" s="1"/>
  <c r="M99" i="28"/>
  <c r="M104" i="28"/>
  <c r="M90" i="28"/>
  <c r="AY71" i="12" s="1"/>
  <c r="M107" i="28"/>
  <c r="M109" i="28"/>
  <c r="M97" i="28"/>
  <c r="M105" i="28"/>
  <c r="M98" i="28"/>
  <c r="M102" i="28"/>
  <c r="M88" i="28"/>
  <c r="AY69" i="12" s="1"/>
  <c r="M54" i="28"/>
  <c r="AY93" i="12"/>
  <c r="M86" i="28"/>
  <c r="AY67" i="12" s="1"/>
  <c r="M52" i="28"/>
  <c r="M89" i="28"/>
  <c r="M106" i="28"/>
  <c r="M87" i="28"/>
  <c r="M53" i="28"/>
  <c r="M85" i="28"/>
  <c r="M78" i="28"/>
  <c r="M100" i="28"/>
  <c r="M79" i="28"/>
  <c r="M80" i="28"/>
  <c r="M139" i="28"/>
  <c r="M140" i="28"/>
  <c r="AB170" i="33"/>
  <c r="O170" i="33" s="1"/>
  <c r="BL95" i="12"/>
  <c r="K117" i="12"/>
  <c r="X117" i="33" s="1"/>
  <c r="X76" i="12"/>
  <c r="AF49" i="12"/>
  <c r="G81" i="27"/>
  <c r="E49" i="12"/>
  <c r="R49" i="33" s="1"/>
  <c r="E49" i="33" s="1"/>
  <c r="L55" i="28"/>
  <c r="M148" i="29"/>
  <c r="M145" i="29"/>
  <c r="BL125" i="12" s="1"/>
  <c r="L118" i="27"/>
  <c r="AK98" i="12" s="1"/>
  <c r="L114" i="27"/>
  <c r="AK94" i="12" s="1"/>
  <c r="M51" i="28"/>
  <c r="O103" i="30"/>
  <c r="O112" i="30"/>
  <c r="CA92" i="12" s="1"/>
  <c r="O110" i="30"/>
  <c r="O82" i="30"/>
  <c r="O111" i="30"/>
  <c r="CA91" i="12" s="1"/>
  <c r="O116" i="30"/>
  <c r="O169" i="30"/>
  <c r="O117" i="30"/>
  <c r="CA97" i="12" s="1"/>
  <c r="O172" i="30"/>
  <c r="O167" i="30"/>
  <c r="CA147" i="12" s="1"/>
  <c r="O170" i="30"/>
  <c r="O165" i="30"/>
  <c r="O168" i="30"/>
  <c r="O115" i="30"/>
  <c r="O166" i="30"/>
  <c r="O150" i="30"/>
  <c r="O153" i="30"/>
  <c r="O171" i="30"/>
  <c r="O156" i="30"/>
  <c r="O154" i="30"/>
  <c r="O149" i="30"/>
  <c r="O164" i="30"/>
  <c r="O152" i="30"/>
  <c r="O159" i="30"/>
  <c r="O157" i="30"/>
  <c r="O158" i="30"/>
  <c r="O151" i="30"/>
  <c r="O155" i="30"/>
  <c r="O144" i="30"/>
  <c r="CA124" i="12" s="1"/>
  <c r="O139" i="30"/>
  <c r="O146" i="30"/>
  <c r="O128" i="30"/>
  <c r="O135" i="30"/>
  <c r="CA115" i="12" s="1"/>
  <c r="O142" i="30"/>
  <c r="CA122" i="12" s="1"/>
  <c r="O140" i="30"/>
  <c r="O147" i="30"/>
  <c r="O129" i="30"/>
  <c r="O143" i="30"/>
  <c r="CA123" i="12" s="1"/>
  <c r="O127" i="30"/>
  <c r="O130" i="30"/>
  <c r="O134" i="30"/>
  <c r="O141" i="30"/>
  <c r="O131" i="30"/>
  <c r="O132" i="30"/>
  <c r="O125" i="30"/>
  <c r="O28" i="30" s="1"/>
  <c r="O120" i="30"/>
  <c r="O123" i="30"/>
  <c r="O121" i="30"/>
  <c r="O124" i="30"/>
  <c r="CA104" i="12" s="1"/>
  <c r="O119" i="30"/>
  <c r="CA99" i="12" s="1"/>
  <c r="O97" i="30"/>
  <c r="O104" i="30"/>
  <c r="O122" i="30"/>
  <c r="O94" i="30"/>
  <c r="O100" i="30"/>
  <c r="O107" i="30"/>
  <c r="O90" i="30"/>
  <c r="CA71" i="12" s="1"/>
  <c r="O98" i="30"/>
  <c r="O105" i="30"/>
  <c r="O91" i="30"/>
  <c r="O102" i="30"/>
  <c r="O93" i="30"/>
  <c r="O99" i="30"/>
  <c r="O106" i="30"/>
  <c r="O109" i="30"/>
  <c r="O79" i="30"/>
  <c r="O53" i="30"/>
  <c r="O85" i="30"/>
  <c r="O88" i="30"/>
  <c r="CA69" i="12" s="1"/>
  <c r="O51" i="30"/>
  <c r="O80" i="30"/>
  <c r="O54" i="30"/>
  <c r="O86" i="30"/>
  <c r="CA67" i="12" s="1"/>
  <c r="O89" i="30"/>
  <c r="O52" i="30"/>
  <c r="O87" i="30"/>
  <c r="AX101" i="12"/>
  <c r="L92" i="28"/>
  <c r="L96" i="28"/>
  <c r="L145" i="28"/>
  <c r="M101" i="29"/>
  <c r="L96" i="29"/>
  <c r="N126" i="30"/>
  <c r="BL9" i="12"/>
  <c r="M83" i="29"/>
  <c r="BZ95" i="12"/>
  <c r="AK101" i="12"/>
  <c r="L133" i="28"/>
  <c r="L118" i="28"/>
  <c r="L96" i="26"/>
  <c r="L133" i="26"/>
  <c r="L138" i="26"/>
  <c r="L173" i="26"/>
  <c r="M95" i="29"/>
  <c r="BL76" i="12" s="1"/>
  <c r="M114" i="29"/>
  <c r="N138" i="30"/>
  <c r="N164" i="30"/>
  <c r="AS49" i="12"/>
  <c r="G81" i="28"/>
  <c r="BF49" i="12"/>
  <c r="G81" i="29"/>
  <c r="CI49" i="12"/>
  <c r="J81" i="34"/>
  <c r="CI62" i="12" s="1"/>
  <c r="U37" i="12"/>
  <c r="S38" i="12"/>
  <c r="F38" i="12" s="1"/>
  <c r="S38" i="33" s="1"/>
  <c r="F38" i="33" s="1"/>
  <c r="G81" i="26"/>
  <c r="I24" i="32"/>
  <c r="AH6" i="33" s="1"/>
  <c r="AH5" i="33"/>
  <c r="H5" i="33" s="1"/>
  <c r="I84" i="32"/>
  <c r="AH65" i="33" s="1"/>
  <c r="P205" i="32"/>
  <c r="O25" i="21" s="1"/>
  <c r="AL106" i="33"/>
  <c r="AL10" i="33"/>
  <c r="BE157" i="12"/>
  <c r="E92" i="21" s="1"/>
  <c r="E110" i="21" s="1"/>
  <c r="K67" i="12"/>
  <c r="X67" i="33" s="1"/>
  <c r="K99" i="12"/>
  <c r="N166" i="12"/>
  <c r="J125" i="12"/>
  <c r="W125" i="33" s="1"/>
  <c r="I65" i="12"/>
  <c r="K70" i="12"/>
  <c r="X70" i="33" s="1"/>
  <c r="K70" i="33" s="1"/>
  <c r="K96" i="12"/>
  <c r="X96" i="33" s="1"/>
  <c r="K96" i="33" s="1"/>
  <c r="K116" i="12"/>
  <c r="X116" i="33" s="1"/>
  <c r="J98" i="12"/>
  <c r="K104" i="12"/>
  <c r="X104" i="33" s="1"/>
  <c r="K104" i="33" s="1"/>
  <c r="K123" i="12"/>
  <c r="X123" i="33" s="1"/>
  <c r="K93" i="12"/>
  <c r="X93" i="33" s="1"/>
  <c r="J8" i="12"/>
  <c r="W8" i="33" s="1"/>
  <c r="M164" i="12"/>
  <c r="N180" i="32" s="1"/>
  <c r="L165" i="12"/>
  <c r="H16" i="12"/>
  <c r="U16" i="33" s="1"/>
  <c r="K127" i="12"/>
  <c r="X127" i="33" s="1"/>
  <c r="H39" i="28"/>
  <c r="AT21" i="12" s="1"/>
  <c r="F57" i="12"/>
  <c r="S57" i="33" s="1"/>
  <c r="F57" i="33" s="1"/>
  <c r="I142" i="12"/>
  <c r="V142" i="33" s="1"/>
  <c r="I142" i="33" s="1"/>
  <c r="F31" i="12"/>
  <c r="S31" i="33" s="1"/>
  <c r="F31" i="33" s="1"/>
  <c r="I86" i="12"/>
  <c r="V86" i="33" s="1"/>
  <c r="I86" i="33" s="1"/>
  <c r="H25" i="12"/>
  <c r="U25" i="33" s="1"/>
  <c r="J130" i="12"/>
  <c r="W130" i="33" s="1"/>
  <c r="J130" i="33" s="1"/>
  <c r="J100" i="12"/>
  <c r="W100" i="33" s="1"/>
  <c r="J33" i="12"/>
  <c r="W33" i="33" s="1"/>
  <c r="J33" i="33" s="1"/>
  <c r="CJ36" i="12"/>
  <c r="BS21" i="12"/>
  <c r="G177" i="30"/>
  <c r="BT11" i="12"/>
  <c r="H39" i="30"/>
  <c r="BQ157" i="12"/>
  <c r="D93" i="21" s="1"/>
  <c r="D111" i="21" s="1"/>
  <c r="I141" i="12"/>
  <c r="V141" i="33" s="1"/>
  <c r="I141" i="33" s="1"/>
  <c r="BR157" i="12"/>
  <c r="E93" i="21" s="1"/>
  <c r="E111" i="21" s="1"/>
  <c r="BT113" i="12"/>
  <c r="G113" i="12" s="1"/>
  <c r="H176" i="30"/>
  <c r="BT156" i="12" s="1"/>
  <c r="J61" i="12"/>
  <c r="W61" i="33" s="1"/>
  <c r="J61" i="33" s="1"/>
  <c r="CL105" i="12"/>
  <c r="CL10" i="12"/>
  <c r="CJ31" i="12"/>
  <c r="K58" i="34"/>
  <c r="CJ39" i="12" s="1"/>
  <c r="K74" i="34"/>
  <c r="K71" i="34"/>
  <c r="CJ52" i="12" s="1"/>
  <c r="K77" i="34"/>
  <c r="CJ58" i="12" s="1"/>
  <c r="CJ25" i="12"/>
  <c r="K69" i="34"/>
  <c r="CJ50" i="12" s="1"/>
  <c r="K75" i="34"/>
  <c r="CJ56" i="12" s="1"/>
  <c r="K56" i="34"/>
  <c r="K72" i="34"/>
  <c r="CJ53" i="12" s="1"/>
  <c r="J39" i="34"/>
  <c r="CI21" i="12" s="1"/>
  <c r="I57" i="21" s="1"/>
  <c r="CI11" i="12"/>
  <c r="CK82" i="12"/>
  <c r="CK78" i="12"/>
  <c r="L61" i="34"/>
  <c r="CK42" i="12" s="1"/>
  <c r="CK24" i="12"/>
  <c r="K68" i="34"/>
  <c r="CJ49" i="12" s="1"/>
  <c r="CJ47" i="12"/>
  <c r="K62" i="34"/>
  <c r="CJ43" i="12" s="1"/>
  <c r="CJ41" i="12"/>
  <c r="CI37" i="12"/>
  <c r="CK102" i="12"/>
  <c r="CK106" i="12"/>
  <c r="CK35" i="12"/>
  <c r="H53" i="12"/>
  <c r="U53" i="33" s="1"/>
  <c r="L67" i="34"/>
  <c r="CK48" i="12" s="1"/>
  <c r="CK30" i="12"/>
  <c r="J129" i="12"/>
  <c r="W129" i="33" s="1"/>
  <c r="J129" i="33" s="1"/>
  <c r="J103" i="12"/>
  <c r="W103" i="33" s="1"/>
  <c r="J103" i="33" s="1"/>
  <c r="F55" i="12"/>
  <c r="S55" i="33" s="1"/>
  <c r="F55" i="33" s="1"/>
  <c r="BD157" i="12"/>
  <c r="D92" i="21" s="1"/>
  <c r="D55" i="21"/>
  <c r="D46" i="21" s="1"/>
  <c r="CK23" i="12"/>
  <c r="L60" i="34"/>
  <c r="J81" i="12"/>
  <c r="W81" i="33" s="1"/>
  <c r="J81" i="33" s="1"/>
  <c r="F51" i="12"/>
  <c r="S51" i="33" s="1"/>
  <c r="F51" i="33" s="1"/>
  <c r="CK32" i="12"/>
  <c r="L59" i="34"/>
  <c r="CK40" i="12" s="1"/>
  <c r="CK141" i="12"/>
  <c r="CK144" i="12"/>
  <c r="I24" i="12"/>
  <c r="V24" i="33" s="1"/>
  <c r="I24" i="33" s="1"/>
  <c r="CJ28" i="12"/>
  <c r="K57" i="34"/>
  <c r="CJ38" i="12" s="1"/>
  <c r="K76" i="34"/>
  <c r="CJ57" i="12" s="1"/>
  <c r="K70" i="34"/>
  <c r="CJ51" i="12" s="1"/>
  <c r="K73" i="34"/>
  <c r="CJ54" i="12" s="1"/>
  <c r="CJ10" i="12"/>
  <c r="CK27" i="12"/>
  <c r="L64" i="34"/>
  <c r="CK45" i="12" s="1"/>
  <c r="CK66" i="12"/>
  <c r="CK73" i="12"/>
  <c r="CL138" i="12"/>
  <c r="CL34" i="12"/>
  <c r="CL85" i="12"/>
  <c r="CL72" i="12"/>
  <c r="CL63" i="12"/>
  <c r="CL89" i="12"/>
  <c r="CL103" i="12"/>
  <c r="CL83" i="12"/>
  <c r="CL100" i="12"/>
  <c r="CL79" i="12"/>
  <c r="CL130" i="12"/>
  <c r="CL84" i="12"/>
  <c r="CL132" i="12"/>
  <c r="CL114" i="12"/>
  <c r="CL136" i="12"/>
  <c r="CL139" i="12"/>
  <c r="CL133" i="12"/>
  <c r="CL152" i="12"/>
  <c r="CL149" i="12"/>
  <c r="CL131" i="12"/>
  <c r="CL150" i="12"/>
  <c r="CL135" i="12"/>
  <c r="CL151" i="12"/>
  <c r="CL87" i="12"/>
  <c r="CL137" i="12"/>
  <c r="CL134" i="12"/>
  <c r="CL142" i="12"/>
  <c r="CL143" i="12"/>
  <c r="CL80" i="12"/>
  <c r="CL81" i="12"/>
  <c r="CL33" i="12"/>
  <c r="CL61" i="12"/>
  <c r="CL119" i="12"/>
  <c r="CL120" i="12"/>
  <c r="CL60" i="12"/>
  <c r="CL59" i="12"/>
  <c r="CL75" i="12"/>
  <c r="I105" i="12"/>
  <c r="V105" i="33" s="1"/>
  <c r="I105" i="33" s="1"/>
  <c r="CJ44" i="12"/>
  <c r="K65" i="34"/>
  <c r="CJ46" i="12" s="1"/>
  <c r="CK29" i="12"/>
  <c r="L66" i="34"/>
  <c r="CK148" i="12"/>
  <c r="CK153" i="12"/>
  <c r="CK129" i="12"/>
  <c r="CK140" i="12"/>
  <c r="I44" i="12"/>
  <c r="V44" i="33" s="1"/>
  <c r="J86" i="12"/>
  <c r="W86" i="33" s="1"/>
  <c r="J86" i="33" s="1"/>
  <c r="J63" i="12"/>
  <c r="H29" i="12"/>
  <c r="U29" i="33" s="1"/>
  <c r="H29" i="33" s="1"/>
  <c r="CK105" i="12"/>
  <c r="CK74" i="12"/>
  <c r="CK77" i="12"/>
  <c r="CK26" i="12"/>
  <c r="L63" i="34"/>
  <c r="CK86" i="12"/>
  <c r="CK88" i="12"/>
  <c r="J7" i="12"/>
  <c r="K71" i="12"/>
  <c r="X71" i="33" s="1"/>
  <c r="K71" i="33" s="1"/>
  <c r="K69" i="12"/>
  <c r="X69" i="33" s="1"/>
  <c r="K69" i="33" s="1"/>
  <c r="K95" i="12"/>
  <c r="X95" i="33" s="1"/>
  <c r="K95" i="33" s="1"/>
  <c r="J128" i="12"/>
  <c r="W128" i="33" s="1"/>
  <c r="J75" i="12"/>
  <c r="W75" i="33" s="1"/>
  <c r="J75" i="33" s="1"/>
  <c r="J151" i="12"/>
  <c r="W151" i="33" s="1"/>
  <c r="J151" i="33" s="1"/>
  <c r="J148" i="12"/>
  <c r="W148" i="33" s="1"/>
  <c r="J148" i="33" s="1"/>
  <c r="J136" i="12"/>
  <c r="W136" i="33" s="1"/>
  <c r="J136" i="33" s="1"/>
  <c r="J152" i="12"/>
  <c r="W152" i="33" s="1"/>
  <c r="J152" i="33" s="1"/>
  <c r="J79" i="12"/>
  <c r="W79" i="33" s="1"/>
  <c r="J79" i="33" s="1"/>
  <c r="I140" i="12"/>
  <c r="F36" i="12"/>
  <c r="H48" i="12"/>
  <c r="U48" i="33" s="1"/>
  <c r="H48" i="33" s="1"/>
  <c r="J142" i="12"/>
  <c r="W142" i="33" s="1"/>
  <c r="J142" i="33" s="1"/>
  <c r="I144" i="12"/>
  <c r="J149" i="12"/>
  <c r="W149" i="33" s="1"/>
  <c r="J149" i="33" s="1"/>
  <c r="J78" i="12"/>
  <c r="W78" i="33" s="1"/>
  <c r="J78" i="33" s="1"/>
  <c r="I153" i="12"/>
  <c r="V153" i="33" s="1"/>
  <c r="I40" i="12"/>
  <c r="V40" i="33" s="1"/>
  <c r="I40" i="33" s="1"/>
  <c r="F45" i="12"/>
  <c r="S45" i="33" s="1"/>
  <c r="F45" i="33" s="1"/>
  <c r="J94" i="12"/>
  <c r="W94" i="33" s="1"/>
  <c r="K147" i="12"/>
  <c r="X147" i="33" s="1"/>
  <c r="K147" i="33" s="1"/>
  <c r="K145" i="12"/>
  <c r="X145" i="33" s="1"/>
  <c r="K90" i="12"/>
  <c r="X90" i="33" s="1"/>
  <c r="J60" i="12"/>
  <c r="W60" i="33" s="1"/>
  <c r="J60" i="33" s="1"/>
  <c r="J59" i="12"/>
  <c r="W59" i="33" s="1"/>
  <c r="J59" i="33" s="1"/>
  <c r="F58" i="12"/>
  <c r="S58" i="33" s="1"/>
  <c r="F58" i="33" s="1"/>
  <c r="I88" i="12"/>
  <c r="F46" i="12"/>
  <c r="S46" i="33" s="1"/>
  <c r="F46" i="33" s="1"/>
  <c r="K92" i="12"/>
  <c r="X92" i="33" s="1"/>
  <c r="J9" i="12"/>
  <c r="W9" i="33" s="1"/>
  <c r="J12" i="12"/>
  <c r="W12" i="33" s="1"/>
  <c r="K121" i="12"/>
  <c r="K126" i="12"/>
  <c r="X126" i="33" s="1"/>
  <c r="K124" i="12"/>
  <c r="X124" i="33" s="1"/>
  <c r="J118" i="12"/>
  <c r="W118" i="33" s="1"/>
  <c r="J83" i="12"/>
  <c r="J72" i="12"/>
  <c r="W72" i="33" s="1"/>
  <c r="J72" i="33" s="1"/>
  <c r="J120" i="12"/>
  <c r="J23" i="12"/>
  <c r="W23" i="33" s="1"/>
  <c r="J15" i="12"/>
  <c r="W15" i="33" s="1"/>
  <c r="F39" i="12"/>
  <c r="S39" i="33" s="1"/>
  <c r="F39" i="33" s="1"/>
  <c r="F54" i="12"/>
  <c r="S54" i="33" s="1"/>
  <c r="F54" i="33" s="1"/>
  <c r="P441" i="14"/>
  <c r="K115" i="12"/>
  <c r="X115" i="33" s="1"/>
  <c r="K122" i="12"/>
  <c r="X122" i="33" s="1"/>
  <c r="K68" i="12"/>
  <c r="X68" i="33" s="1"/>
  <c r="K68" i="33" s="1"/>
  <c r="I82" i="12"/>
  <c r="J119" i="12"/>
  <c r="J85" i="12"/>
  <c r="J114" i="12"/>
  <c r="J80" i="12"/>
  <c r="W80" i="33" s="1"/>
  <c r="J80" i="33" s="1"/>
  <c r="J133" i="12"/>
  <c r="W133" i="33" s="1"/>
  <c r="J133" i="33" s="1"/>
  <c r="F52" i="12"/>
  <c r="S52" i="33" s="1"/>
  <c r="F52" i="33" s="1"/>
  <c r="F47" i="12"/>
  <c r="S47" i="33" s="1"/>
  <c r="F47" i="33" s="1"/>
  <c r="I23" i="12"/>
  <c r="V23" i="33" s="1"/>
  <c r="G102" i="12"/>
  <c r="T102" i="33" s="1"/>
  <c r="G102" i="33" s="1"/>
  <c r="J34" i="12"/>
  <c r="W34" i="33" s="1"/>
  <c r="J34" i="33" s="1"/>
  <c r="I66" i="12"/>
  <c r="V66" i="33" s="1"/>
  <c r="I66" i="33" s="1"/>
  <c r="I26" i="12"/>
  <c r="V26" i="33" s="1"/>
  <c r="H56" i="12"/>
  <c r="U56" i="33" s="1"/>
  <c r="J35" i="12"/>
  <c r="W35" i="33" s="1"/>
  <c r="J35" i="33" s="1"/>
  <c r="J131" i="12"/>
  <c r="W131" i="33" s="1"/>
  <c r="J131" i="33" s="1"/>
  <c r="J89" i="12"/>
  <c r="G28" i="12"/>
  <c r="T28" i="33" s="1"/>
  <c r="G28" i="33" s="1"/>
  <c r="H27" i="12"/>
  <c r="U27" i="33" s="1"/>
  <c r="H27" i="33" s="1"/>
  <c r="H50" i="12"/>
  <c r="U50" i="33" s="1"/>
  <c r="J143" i="12"/>
  <c r="W143" i="33" s="1"/>
  <c r="J143" i="33" s="1"/>
  <c r="V75" i="33"/>
  <c r="I75" i="33" s="1"/>
  <c r="J134" i="12"/>
  <c r="W134" i="33" s="1"/>
  <c r="J134" i="33" s="1"/>
  <c r="J137" i="12"/>
  <c r="W137" i="33" s="1"/>
  <c r="J137" i="33" s="1"/>
  <c r="K91" i="12"/>
  <c r="X91" i="33" s="1"/>
  <c r="K97" i="12"/>
  <c r="X97" i="33" s="1"/>
  <c r="K97" i="33" s="1"/>
  <c r="J138" i="12"/>
  <c r="W138" i="33" s="1"/>
  <c r="J138" i="33" s="1"/>
  <c r="J135" i="12"/>
  <c r="W135" i="33" s="1"/>
  <c r="J135" i="33" s="1"/>
  <c r="J150" i="12"/>
  <c r="W150" i="33" s="1"/>
  <c r="J150" i="33" s="1"/>
  <c r="J132" i="12"/>
  <c r="W132" i="33" s="1"/>
  <c r="J132" i="33" s="1"/>
  <c r="J139" i="12"/>
  <c r="W139" i="33" s="1"/>
  <c r="J139" i="33" s="1"/>
  <c r="J84" i="12"/>
  <c r="H30" i="12"/>
  <c r="U30" i="33" s="1"/>
  <c r="H30" i="33" s="1"/>
  <c r="H41" i="12"/>
  <c r="U41" i="33" s="1"/>
  <c r="H43" i="12"/>
  <c r="U43" i="33" s="1"/>
  <c r="F113" i="12"/>
  <c r="I32" i="12"/>
  <c r="V32" i="33" s="1"/>
  <c r="I32" i="33" s="1"/>
  <c r="H111" i="12"/>
  <c r="U111" i="33" s="1"/>
  <c r="H111" i="33" s="1"/>
  <c r="H108" i="12"/>
  <c r="U108" i="33" s="1"/>
  <c r="H108" i="33" s="1"/>
  <c r="CH107" i="12"/>
  <c r="H107" i="12" s="1"/>
  <c r="U107" i="33" s="1"/>
  <c r="H107" i="33" s="1"/>
  <c r="H112" i="12"/>
  <c r="U112" i="33" s="1"/>
  <c r="H112" i="33" s="1"/>
  <c r="H109" i="12"/>
  <c r="U109" i="33" s="1"/>
  <c r="H109" i="33" s="1"/>
  <c r="G177" i="34"/>
  <c r="CF157" i="12" s="1"/>
  <c r="F94" i="21" s="1"/>
  <c r="CF156" i="12"/>
  <c r="F76" i="21" s="1"/>
  <c r="F67" i="21" s="1"/>
  <c r="H64" i="12"/>
  <c r="H177" i="34"/>
  <c r="CG157" i="12" s="1"/>
  <c r="G94" i="21" s="1"/>
  <c r="CG156" i="12"/>
  <c r="G76" i="21" s="1"/>
  <c r="H110" i="12"/>
  <c r="U110" i="33" s="1"/>
  <c r="H110" i="33" s="1"/>
  <c r="Q156" i="33"/>
  <c r="D156" i="33" s="1"/>
  <c r="P168" i="8"/>
  <c r="P169" i="8" s="1"/>
  <c r="P70" i="8"/>
  <c r="P73" i="8"/>
  <c r="P72" i="8"/>
  <c r="CI64" i="12"/>
  <c r="O66" i="14"/>
  <c r="O70" i="14" s="1"/>
  <c r="BH11" i="12"/>
  <c r="O442" i="14"/>
  <c r="Q369" i="14"/>
  <c r="Q384" i="14"/>
  <c r="Q344" i="14"/>
  <c r="Q316" i="14"/>
  <c r="Q416" i="14"/>
  <c r="Q432" i="14"/>
  <c r="Q406" i="14"/>
  <c r="Q434" i="14"/>
  <c r="Q438" i="14"/>
  <c r="Q370" i="14"/>
  <c r="Q376" i="14"/>
  <c r="Q322" i="14"/>
  <c r="Q330" i="14"/>
  <c r="Q392" i="14"/>
  <c r="Q341" i="14"/>
  <c r="Q368" i="14"/>
  <c r="Q387" i="14"/>
  <c r="Q340" i="14"/>
  <c r="Q433" i="14"/>
  <c r="Q423" i="14"/>
  <c r="Q334" i="14"/>
  <c r="Q427" i="14"/>
  <c r="Q424" i="14"/>
  <c r="Q331" i="14"/>
  <c r="Q382" i="14"/>
  <c r="Q420" i="14"/>
  <c r="Q353" i="14"/>
  <c r="Q374" i="14"/>
  <c r="Q412" i="14"/>
  <c r="Q398" i="14"/>
  <c r="Q367" i="14"/>
  <c r="Q375" i="14"/>
  <c r="Q336" i="14"/>
  <c r="Q394" i="14"/>
  <c r="Q339" i="14"/>
  <c r="Q349" i="14"/>
  <c r="Q328" i="14"/>
  <c r="Q333" i="14"/>
  <c r="Q335" i="14"/>
  <c r="Q414" i="14"/>
  <c r="Q327" i="14"/>
  <c r="Q396" i="14"/>
  <c r="Q381" i="14"/>
  <c r="Q431" i="14"/>
  <c r="Q378" i="14"/>
  <c r="Q361" i="14"/>
  <c r="Q352" i="14"/>
  <c r="Q319" i="14"/>
  <c r="Q346" i="14"/>
  <c r="Q403" i="14"/>
  <c r="Q401" i="14"/>
  <c r="Q404" i="14"/>
  <c r="Q402" i="14"/>
  <c r="Q318" i="14"/>
  <c r="Q338" i="14"/>
  <c r="Q325" i="14"/>
  <c r="Q410" i="14"/>
  <c r="Q354" i="14"/>
  <c r="Q411" i="14"/>
  <c r="Q360" i="14"/>
  <c r="Q395" i="14"/>
  <c r="Q419" i="14"/>
  <c r="Q397" i="14"/>
  <c r="Q357" i="14"/>
  <c r="Q430" i="14"/>
  <c r="Q400" i="14"/>
  <c r="Q372" i="14"/>
  <c r="Q399" i="14"/>
  <c r="Q377" i="14"/>
  <c r="Q380" i="14"/>
  <c r="Q393" i="14"/>
  <c r="Q437" i="14"/>
  <c r="Q426" i="14"/>
  <c r="Q435" i="14"/>
  <c r="Q342" i="14"/>
  <c r="Q390" i="14"/>
  <c r="Q345" i="14"/>
  <c r="Q358" i="14"/>
  <c r="Q405" i="14"/>
  <c r="Q351" i="14"/>
  <c r="Q356" i="14"/>
  <c r="Q439" i="14"/>
  <c r="Q362" i="14"/>
  <c r="Q366" i="14"/>
  <c r="Q436" i="14"/>
  <c r="Q421" i="14"/>
  <c r="Q359" i="14"/>
  <c r="Q371" i="14"/>
  <c r="Q348" i="14"/>
  <c r="Q389" i="14"/>
  <c r="Q417" i="14"/>
  <c r="Q324" i="14"/>
  <c r="Q408" i="14"/>
  <c r="Q415" i="14"/>
  <c r="Q429" i="14"/>
  <c r="Q365" i="14"/>
  <c r="Q388" i="14"/>
  <c r="Q347" i="14"/>
  <c r="Q350" i="14"/>
  <c r="Q343" i="14"/>
  <c r="Q391" i="14"/>
  <c r="Q413" i="14"/>
  <c r="Q409" i="14"/>
  <c r="Q364" i="14"/>
  <c r="Q428" i="14"/>
  <c r="Q355" i="14"/>
  <c r="Q379" i="14"/>
  <c r="Q440" i="14"/>
  <c r="Q383" i="14"/>
  <c r="Q385" i="14"/>
  <c r="Q321" i="14"/>
  <c r="Q373" i="14"/>
  <c r="Q425" i="14"/>
  <c r="Q386" i="14"/>
  <c r="Q407" i="14"/>
  <c r="Q418" i="14"/>
  <c r="Q363" i="14"/>
  <c r="Q317" i="14"/>
  <c r="Q329" i="14"/>
  <c r="Q326" i="14"/>
  <c r="Q337" i="14"/>
  <c r="Q332" i="14"/>
  <c r="Q323" i="14"/>
  <c r="Q422" i="14"/>
  <c r="Q65" i="14" s="1"/>
  <c r="Q42" i="14" s="1"/>
  <c r="Q320" i="14"/>
  <c r="Q63" i="14" s="1"/>
  <c r="Q5" i="14"/>
  <c r="P58" i="14"/>
  <c r="O72" i="14"/>
  <c r="Q68" i="8"/>
  <c r="Q75" i="8" s="1"/>
  <c r="Q58" i="8"/>
  <c r="Q459" i="8"/>
  <c r="Q57" i="8" s="1"/>
  <c r="Q62" i="8"/>
  <c r="Q66" i="8" s="1"/>
  <c r="O151" i="14"/>
  <c r="O152" i="14" s="1"/>
  <c r="P69" i="8"/>
  <c r="P74" i="8"/>
  <c r="P67" i="8"/>
  <c r="P62" i="14"/>
  <c r="P66" i="14" s="1"/>
  <c r="P442" i="14" s="1"/>
  <c r="O69" i="14"/>
  <c r="O74" i="14"/>
  <c r="O67" i="14"/>
  <c r="P56" i="14"/>
  <c r="P60" i="14" s="1"/>
  <c r="Q59" i="8"/>
  <c r="J38" i="32"/>
  <c r="AI17" i="33"/>
  <c r="I17" i="33" s="1"/>
  <c r="S106" i="33"/>
  <c r="F106" i="33" s="1"/>
  <c r="W121" i="33"/>
  <c r="J121" i="33" s="1"/>
  <c r="V84" i="33"/>
  <c r="I84" i="33" s="1"/>
  <c r="AI90" i="33"/>
  <c r="I90" i="33" s="1"/>
  <c r="AI117" i="33"/>
  <c r="I117" i="33" s="1"/>
  <c r="AI116" i="33"/>
  <c r="I116" i="33" s="1"/>
  <c r="AI110" i="33"/>
  <c r="AI145" i="33"/>
  <c r="I145" i="33" s="1"/>
  <c r="AI123" i="33"/>
  <c r="I123" i="33" s="1"/>
  <c r="AI109" i="33"/>
  <c r="AI146" i="33"/>
  <c r="I146" i="33" s="1"/>
  <c r="AI124" i="33"/>
  <c r="I124" i="33" s="1"/>
  <c r="AH128" i="33"/>
  <c r="H128" i="33" s="1"/>
  <c r="AM105" i="33"/>
  <c r="U88" i="33"/>
  <c r="H88" i="33" s="1"/>
  <c r="AS11" i="12"/>
  <c r="AS10" i="12"/>
  <c r="F10" i="12" s="1"/>
  <c r="S10" i="33" s="1"/>
  <c r="F10" i="33" s="1"/>
  <c r="T64" i="33"/>
  <c r="G64" i="33" s="1"/>
  <c r="V98" i="33"/>
  <c r="I98" i="33" s="1"/>
  <c r="V85" i="33"/>
  <c r="I85" i="33" s="1"/>
  <c r="V83" i="33"/>
  <c r="I83" i="33" s="1"/>
  <c r="AI91" i="33"/>
  <c r="I91" i="33" s="1"/>
  <c r="AI92" i="33"/>
  <c r="I92" i="33" s="1"/>
  <c r="AI112" i="33"/>
  <c r="AI108" i="12"/>
  <c r="AI108" i="33"/>
  <c r="AI126" i="33"/>
  <c r="I126" i="33" s="1"/>
  <c r="AI111" i="33"/>
  <c r="AI107" i="33"/>
  <c r="AI127" i="33"/>
  <c r="I127" i="33" s="1"/>
  <c r="AI122" i="33"/>
  <c r="I122" i="33" s="1"/>
  <c r="AH118" i="33"/>
  <c r="H118" i="33" s="1"/>
  <c r="J39" i="30"/>
  <c r="BV21" i="12" s="1"/>
  <c r="I56" i="21" s="1"/>
  <c r="I47" i="21" s="1"/>
  <c r="BV10" i="12"/>
  <c r="BI11" i="12"/>
  <c r="BI10" i="12"/>
  <c r="U77" i="33"/>
  <c r="H77" i="33" s="1"/>
  <c r="U144" i="33"/>
  <c r="H144" i="33" s="1"/>
  <c r="AH20" i="33"/>
  <c r="H20" i="33" s="1"/>
  <c r="R113" i="33"/>
  <c r="E113" i="33" s="1"/>
  <c r="W99" i="33"/>
  <c r="J99" i="33" s="1"/>
  <c r="V114" i="33"/>
  <c r="I114" i="33" s="1"/>
  <c r="V63" i="33"/>
  <c r="I63" i="33" s="1"/>
  <c r="V89" i="33"/>
  <c r="I89" i="33" s="1"/>
  <c r="U140" i="33"/>
  <c r="H140" i="33" s="1"/>
  <c r="U73" i="33"/>
  <c r="H73" i="33" s="1"/>
  <c r="AI16" i="12"/>
  <c r="U65" i="33"/>
  <c r="R11" i="12"/>
  <c r="F39" i="26"/>
  <c r="R21" i="12" s="1"/>
  <c r="E21" i="12" s="1"/>
  <c r="I34" i="32"/>
  <c r="AH15" i="33"/>
  <c r="H15" i="33" s="1"/>
  <c r="BJ16" i="12"/>
  <c r="V16" i="12"/>
  <c r="AV16" i="12"/>
  <c r="AG11" i="33"/>
  <c r="H39" i="32"/>
  <c r="AG21" i="33" s="1"/>
  <c r="V119" i="33"/>
  <c r="I119" i="33" s="1"/>
  <c r="V120" i="33"/>
  <c r="I120" i="33" s="1"/>
  <c r="AM33" i="33"/>
  <c r="AM61" i="33"/>
  <c r="AM59" i="33"/>
  <c r="U82" i="33"/>
  <c r="H82" i="33" s="1"/>
  <c r="AM35" i="33"/>
  <c r="AM34" i="33"/>
  <c r="AM60" i="33"/>
  <c r="R36" i="33"/>
  <c r="E36" i="33" s="1"/>
  <c r="E12" i="21" s="1"/>
  <c r="G29" i="26"/>
  <c r="AW153" i="12"/>
  <c r="V7" i="33"/>
  <c r="J56" i="26"/>
  <c r="V108" i="12"/>
  <c r="BU113" i="12"/>
  <c r="AG106" i="12"/>
  <c r="G106" i="12" s="1"/>
  <c r="T10" i="12"/>
  <c r="J62" i="27"/>
  <c r="AI43" i="12" s="1"/>
  <c r="W144" i="12"/>
  <c r="AX141" i="12"/>
  <c r="N96" i="32"/>
  <c r="AM77" i="33" s="1"/>
  <c r="AW65" i="12"/>
  <c r="F177" i="32"/>
  <c r="AE157" i="33" s="1"/>
  <c r="E88" i="21" s="1"/>
  <c r="E106" i="21" s="1"/>
  <c r="O78" i="32"/>
  <c r="O80" i="32"/>
  <c r="O79" i="32"/>
  <c r="BZ94" i="12"/>
  <c r="BZ90" i="12"/>
  <c r="BI106" i="12"/>
  <c r="BI102" i="12"/>
  <c r="BH106" i="12"/>
  <c r="BH102" i="12"/>
  <c r="AH106" i="12"/>
  <c r="AH102" i="12"/>
  <c r="AW88" i="12"/>
  <c r="AW87" i="12"/>
  <c r="J87" i="12" s="1"/>
  <c r="J92" i="32"/>
  <c r="AI73" i="33" s="1"/>
  <c r="I67" i="33"/>
  <c r="X142" i="12"/>
  <c r="X143" i="12"/>
  <c r="X33" i="12"/>
  <c r="AX35" i="12"/>
  <c r="AX34" i="12"/>
  <c r="AK34" i="12"/>
  <c r="AK142" i="12"/>
  <c r="AX143" i="12"/>
  <c r="AX142" i="12"/>
  <c r="M185" i="27"/>
  <c r="M95" i="27" s="1"/>
  <c r="O185" i="30"/>
  <c r="O95" i="30" s="1"/>
  <c r="O96" i="30" s="1"/>
  <c r="N185" i="29"/>
  <c r="N95" i="29" s="1"/>
  <c r="M185" i="28"/>
  <c r="L34" i="29"/>
  <c r="O141" i="32"/>
  <c r="AN121" i="33" s="1"/>
  <c r="O115" i="32"/>
  <c r="AN95" i="33" s="1"/>
  <c r="O120" i="32"/>
  <c r="AN100" i="33" s="1"/>
  <c r="O122" i="32"/>
  <c r="AN102" i="33" s="1"/>
  <c r="O124" i="32"/>
  <c r="AN104" i="33" s="1"/>
  <c r="O123" i="32"/>
  <c r="AN103" i="33" s="1"/>
  <c r="O121" i="32"/>
  <c r="AN101" i="33" s="1"/>
  <c r="O134" i="32"/>
  <c r="AN114" i="33" s="1"/>
  <c r="AN63" i="33"/>
  <c r="O109" i="32"/>
  <c r="AN89" i="33" s="1"/>
  <c r="O218" i="30"/>
  <c r="BZ128" i="12"/>
  <c r="BZ126" i="12"/>
  <c r="BZ118" i="12"/>
  <c r="BZ115" i="12"/>
  <c r="BL128" i="12"/>
  <c r="BL127" i="12"/>
  <c r="BK142" i="12"/>
  <c r="BK35" i="12"/>
  <c r="BK34" i="12"/>
  <c r="BK143" i="12"/>
  <c r="BK33" i="12"/>
  <c r="BX143" i="12"/>
  <c r="BX142" i="12"/>
  <c r="BX33" i="12"/>
  <c r="BX35" i="12"/>
  <c r="BX34" i="12"/>
  <c r="AJ74" i="12"/>
  <c r="AV102" i="12"/>
  <c r="AU106" i="12"/>
  <c r="AU102" i="12"/>
  <c r="O139" i="32"/>
  <c r="AN119" i="33" s="1"/>
  <c r="H125" i="33"/>
  <c r="J138" i="32"/>
  <c r="I115" i="33"/>
  <c r="BV108" i="12"/>
  <c r="X141" i="12"/>
  <c r="X34" i="12"/>
  <c r="X35" i="12"/>
  <c r="AW144" i="12"/>
  <c r="AW141" i="12"/>
  <c r="AX33" i="12"/>
  <c r="N118" i="32"/>
  <c r="AM98" i="33" s="1"/>
  <c r="N126" i="32"/>
  <c r="AJ144" i="12"/>
  <c r="AJ141" i="12"/>
  <c r="AK35" i="12"/>
  <c r="AK33" i="12"/>
  <c r="BJ144" i="12"/>
  <c r="BJ141" i="12"/>
  <c r="BW141" i="12"/>
  <c r="BW144" i="12"/>
  <c r="AK143" i="12"/>
  <c r="W73" i="12"/>
  <c r="W66" i="12"/>
  <c r="U106" i="12"/>
  <c r="U102" i="12"/>
  <c r="W65" i="12"/>
  <c r="V106" i="12"/>
  <c r="V102" i="12"/>
  <c r="K63" i="27"/>
  <c r="AJ44" i="12" s="1"/>
  <c r="AJ26" i="12"/>
  <c r="K61" i="27"/>
  <c r="AJ42" i="12" s="1"/>
  <c r="AJ24" i="12"/>
  <c r="L60" i="27"/>
  <c r="AK41" i="12" s="1"/>
  <c r="AK23" i="12"/>
  <c r="H65" i="27"/>
  <c r="AG46" i="12" s="1"/>
  <c r="AG45" i="12"/>
  <c r="H68" i="27"/>
  <c r="AG47" i="12"/>
  <c r="J67" i="27"/>
  <c r="AI48" i="12" s="1"/>
  <c r="AI30" i="12"/>
  <c r="AE62" i="12"/>
  <c r="F176" i="27"/>
  <c r="AE156" i="12" s="1"/>
  <c r="K61" i="26"/>
  <c r="W42" i="12" s="1"/>
  <c r="W24" i="12"/>
  <c r="H68" i="26"/>
  <c r="T49" i="12" s="1"/>
  <c r="T47" i="12"/>
  <c r="J67" i="26"/>
  <c r="V48" i="12" s="1"/>
  <c r="V30" i="12"/>
  <c r="L63" i="26"/>
  <c r="X44" i="12" s="1"/>
  <c r="X26" i="12"/>
  <c r="K59" i="26"/>
  <c r="W40" i="12" s="1"/>
  <c r="W32" i="12"/>
  <c r="J69" i="26"/>
  <c r="V50" i="12" s="1"/>
  <c r="V25" i="12"/>
  <c r="T36" i="12"/>
  <c r="T31" i="12"/>
  <c r="R62" i="12"/>
  <c r="F176" i="26"/>
  <c r="R156" i="12" s="1"/>
  <c r="E71" i="21" s="1"/>
  <c r="H65" i="26"/>
  <c r="T46" i="12" s="1"/>
  <c r="T45" i="12"/>
  <c r="J62" i="26"/>
  <c r="V43" i="12" s="1"/>
  <c r="V41" i="12"/>
  <c r="AW77" i="12"/>
  <c r="AW74" i="12"/>
  <c r="J67" i="28"/>
  <c r="AV48" i="12" s="1"/>
  <c r="AV30" i="12"/>
  <c r="AT31" i="12"/>
  <c r="AT36" i="12"/>
  <c r="K61" i="28"/>
  <c r="AW42" i="12" s="1"/>
  <c r="AW24" i="12"/>
  <c r="K63" i="28"/>
  <c r="AW44" i="12" s="1"/>
  <c r="AW26" i="12"/>
  <c r="H65" i="28"/>
  <c r="AT46" i="12" s="1"/>
  <c r="AT45" i="12"/>
  <c r="H68" i="28"/>
  <c r="AT47" i="12"/>
  <c r="AR62" i="12"/>
  <c r="F176" i="28"/>
  <c r="AR156" i="12" s="1"/>
  <c r="E73" i="21" s="1"/>
  <c r="J56" i="28"/>
  <c r="AV37" i="12" s="1"/>
  <c r="AV25" i="12"/>
  <c r="J62" i="28"/>
  <c r="AV43" i="12" s="1"/>
  <c r="AV42" i="12"/>
  <c r="BU37" i="12"/>
  <c r="BZ98" i="12"/>
  <c r="BI77" i="12"/>
  <c r="I77" i="12" s="1"/>
  <c r="J62" i="30"/>
  <c r="BV43" i="12" s="1"/>
  <c r="BV42" i="12"/>
  <c r="J67" i="30"/>
  <c r="BV48" i="12" s="1"/>
  <c r="BV30" i="12"/>
  <c r="K63" i="30"/>
  <c r="BW44" i="12" s="1"/>
  <c r="BW26" i="12"/>
  <c r="K61" i="30"/>
  <c r="BW42" i="12" s="1"/>
  <c r="BW24" i="12"/>
  <c r="J62" i="29"/>
  <c r="BI43" i="12" s="1"/>
  <c r="BI41" i="12"/>
  <c r="K61" i="29"/>
  <c r="BJ42" i="12" s="1"/>
  <c r="BJ24" i="12"/>
  <c r="J67" i="29"/>
  <c r="BI48" i="12" s="1"/>
  <c r="BI30" i="12"/>
  <c r="H65" i="29"/>
  <c r="BG46" i="12" s="1"/>
  <c r="BG45" i="12"/>
  <c r="H68" i="29"/>
  <c r="BG47" i="12"/>
  <c r="BV73" i="12"/>
  <c r="BJ105" i="12"/>
  <c r="H48" i="21"/>
  <c r="BW105" i="12"/>
  <c r="BZ121" i="12"/>
  <c r="M185" i="26"/>
  <c r="BI108" i="12"/>
  <c r="J133" i="32"/>
  <c r="AI113" i="33" s="1"/>
  <c r="J148" i="32"/>
  <c r="J145" i="32"/>
  <c r="AI125" i="33" s="1"/>
  <c r="K143" i="32"/>
  <c r="K146" i="32"/>
  <c r="K165" i="32"/>
  <c r="K128" i="32"/>
  <c r="CJ108" i="12" s="1"/>
  <c r="K130" i="32"/>
  <c r="CJ110" i="12" s="1"/>
  <c r="K132" i="32"/>
  <c r="CJ112" i="12" s="1"/>
  <c r="K142" i="32"/>
  <c r="K144" i="32"/>
  <c r="K147" i="32"/>
  <c r="K166" i="32"/>
  <c r="K127" i="32"/>
  <c r="CJ107" i="12" s="1"/>
  <c r="K129" i="32"/>
  <c r="CJ109" i="12" s="1"/>
  <c r="K131" i="32"/>
  <c r="CJ111" i="12" s="1"/>
  <c r="K135" i="32"/>
  <c r="K137" i="32"/>
  <c r="K136" i="32"/>
  <c r="K86" i="32"/>
  <c r="AJ67" i="33" s="1"/>
  <c r="J114" i="32"/>
  <c r="AI94" i="33" s="1"/>
  <c r="J173" i="32"/>
  <c r="AI153" i="33" s="1"/>
  <c r="K59" i="30"/>
  <c r="BW40" i="12" s="1"/>
  <c r="BG36" i="12"/>
  <c r="J69" i="28"/>
  <c r="AV50" i="12" s="1"/>
  <c r="K59" i="28"/>
  <c r="AW40" i="12" s="1"/>
  <c r="K59" i="29"/>
  <c r="BJ40" i="12" s="1"/>
  <c r="K59" i="27"/>
  <c r="AJ40" i="12" s="1"/>
  <c r="AG36" i="12"/>
  <c r="J72" i="28"/>
  <c r="AV53" i="12" s="1"/>
  <c r="N218" i="29"/>
  <c r="O52" i="32"/>
  <c r="O54" i="32"/>
  <c r="O53" i="32"/>
  <c r="M64" i="32"/>
  <c r="AL45" i="33" s="1"/>
  <c r="AJ73" i="12"/>
  <c r="BJ77" i="12"/>
  <c r="D90" i="21"/>
  <c r="D108" i="21" s="1"/>
  <c r="J75" i="28"/>
  <c r="AV56" i="12" s="1"/>
  <c r="J75" i="26"/>
  <c r="V56" i="12" s="1"/>
  <c r="AI27" i="12"/>
  <c r="V27" i="12"/>
  <c r="BV27" i="12"/>
  <c r="AV27" i="12"/>
  <c r="BI27" i="12"/>
  <c r="BJ30" i="12"/>
  <c r="H70" i="29"/>
  <c r="BG51" i="12" s="1"/>
  <c r="H57" i="29"/>
  <c r="BG38" i="12" s="1"/>
  <c r="H76" i="29"/>
  <c r="BG57" i="12" s="1"/>
  <c r="H73" i="29"/>
  <c r="BG54" i="12" s="1"/>
  <c r="H58" i="26"/>
  <c r="T39" i="12" s="1"/>
  <c r="H74" i="26"/>
  <c r="T55" i="12" s="1"/>
  <c r="H71" i="26"/>
  <c r="T52" i="12" s="1"/>
  <c r="H77" i="26"/>
  <c r="T58" i="12" s="1"/>
  <c r="H58" i="29"/>
  <c r="BG39" i="12" s="1"/>
  <c r="H77" i="29"/>
  <c r="BG58" i="12" s="1"/>
  <c r="H74" i="29"/>
  <c r="BG55" i="12" s="1"/>
  <c r="H71" i="29"/>
  <c r="BG52" i="12" s="1"/>
  <c r="I64" i="28"/>
  <c r="AU28" i="12"/>
  <c r="I64" i="30"/>
  <c r="BU28" i="12"/>
  <c r="I64" i="29"/>
  <c r="BH28" i="12"/>
  <c r="I66" i="29"/>
  <c r="I66" i="27"/>
  <c r="AH31" i="12"/>
  <c r="I66" i="28"/>
  <c r="AI29" i="12"/>
  <c r="V29" i="12"/>
  <c r="BI29" i="12"/>
  <c r="BV29" i="12"/>
  <c r="AV29" i="12"/>
  <c r="H73" i="27"/>
  <c r="AG54" i="12" s="1"/>
  <c r="H70" i="27"/>
  <c r="AG51" i="12" s="1"/>
  <c r="H57" i="27"/>
  <c r="AG38" i="12" s="1"/>
  <c r="H76" i="27"/>
  <c r="AG57" i="12" s="1"/>
  <c r="H57" i="28"/>
  <c r="AT38" i="12" s="1"/>
  <c r="H76" i="28"/>
  <c r="AT57" i="12" s="1"/>
  <c r="H70" i="28"/>
  <c r="AT51" i="12" s="1"/>
  <c r="H73" i="28"/>
  <c r="AT54" i="12" s="1"/>
  <c r="H70" i="26"/>
  <c r="T51" i="12" s="1"/>
  <c r="H76" i="26"/>
  <c r="T57" i="12" s="1"/>
  <c r="H57" i="26"/>
  <c r="H73" i="26"/>
  <c r="T54" i="12" s="1"/>
  <c r="H77" i="28"/>
  <c r="AT58" i="12" s="1"/>
  <c r="H71" i="28"/>
  <c r="AT52" i="12" s="1"/>
  <c r="H74" i="28"/>
  <c r="AT55" i="12" s="1"/>
  <c r="H58" i="28"/>
  <c r="AT39" i="12" s="1"/>
  <c r="H77" i="27"/>
  <c r="AG58" i="12" s="1"/>
  <c r="H74" i="27"/>
  <c r="AG55" i="12" s="1"/>
  <c r="H71" i="27"/>
  <c r="AG52" i="12" s="1"/>
  <c r="H58" i="27"/>
  <c r="AG39" i="12" s="1"/>
  <c r="I64" i="27"/>
  <c r="AH28" i="12"/>
  <c r="I64" i="26"/>
  <c r="U28" i="12"/>
  <c r="I66" i="26"/>
  <c r="I66" i="30"/>
  <c r="W77" i="12"/>
  <c r="BJ82" i="12"/>
  <c r="AJ88" i="12"/>
  <c r="AW82" i="12"/>
  <c r="W153" i="12"/>
  <c r="W140" i="12"/>
  <c r="W82" i="12"/>
  <c r="AW73" i="12"/>
  <c r="X81" i="12"/>
  <c r="X131" i="12"/>
  <c r="X87" i="12"/>
  <c r="AK136" i="12"/>
  <c r="AK137" i="12"/>
  <c r="AK81" i="12"/>
  <c r="X130" i="12"/>
  <c r="X79" i="12"/>
  <c r="AK152" i="12"/>
  <c r="AK130" i="12"/>
  <c r="AK66" i="12"/>
  <c r="AK85" i="12"/>
  <c r="AK105" i="12"/>
  <c r="AX125" i="12"/>
  <c r="AV108" i="12"/>
  <c r="AJ153" i="12"/>
  <c r="X148" i="12"/>
  <c r="X139" i="12"/>
  <c r="X78" i="12"/>
  <c r="X74" i="12"/>
  <c r="AK89" i="12"/>
  <c r="AK83" i="12"/>
  <c r="AK150" i="12"/>
  <c r="AK138" i="12"/>
  <c r="AK120" i="12"/>
  <c r="AK87" i="12"/>
  <c r="AK149" i="12"/>
  <c r="AK133" i="12"/>
  <c r="AK74" i="12"/>
  <c r="AK75" i="12"/>
  <c r="AK63" i="12"/>
  <c r="J69" i="27"/>
  <c r="AI50" i="12" s="1"/>
  <c r="J56" i="27"/>
  <c r="AI37" i="12" s="1"/>
  <c r="J75" i="27"/>
  <c r="AI56" i="12" s="1"/>
  <c r="J72" i="27"/>
  <c r="AI53" i="12" s="1"/>
  <c r="AK132" i="12"/>
  <c r="AK148" i="12"/>
  <c r="AK128" i="12"/>
  <c r="AK100" i="12"/>
  <c r="AK134" i="12"/>
  <c r="AK129" i="12"/>
  <c r="AK80" i="12"/>
  <c r="AK151" i="12"/>
  <c r="AK139" i="12"/>
  <c r="AK135" i="12"/>
  <c r="AK78" i="12"/>
  <c r="AK61" i="12"/>
  <c r="AK119" i="12"/>
  <c r="AK114" i="12"/>
  <c r="AK103" i="12"/>
  <c r="AK84" i="12"/>
  <c r="AK79" i="12"/>
  <c r="AK72" i="12"/>
  <c r="AK59" i="12"/>
  <c r="AK60" i="12"/>
  <c r="AK32" i="12"/>
  <c r="AK26" i="12"/>
  <c r="X151" i="12"/>
  <c r="X138" i="12"/>
  <c r="X59" i="12"/>
  <c r="X132" i="12"/>
  <c r="X89" i="12"/>
  <c r="X152" i="12"/>
  <c r="X135" i="12"/>
  <c r="X83" i="12"/>
  <c r="X66" i="12"/>
  <c r="D91" i="21"/>
  <c r="D109" i="21" s="1"/>
  <c r="X134" i="12"/>
  <c r="X103" i="12"/>
  <c r="X84" i="12"/>
  <c r="X63" i="12"/>
  <c r="X149" i="12"/>
  <c r="X136" i="12"/>
  <c r="X119" i="12"/>
  <c r="X105" i="12"/>
  <c r="X86" i="12"/>
  <c r="X61" i="12"/>
  <c r="X150" i="12"/>
  <c r="X137" i="12"/>
  <c r="X133" i="12"/>
  <c r="X129" i="12"/>
  <c r="X120" i="12"/>
  <c r="X114" i="12"/>
  <c r="X100" i="12"/>
  <c r="X85" i="12"/>
  <c r="X80" i="12"/>
  <c r="X72" i="12"/>
  <c r="X60" i="12"/>
  <c r="I100" i="33"/>
  <c r="D52" i="21"/>
  <c r="Q157" i="12"/>
  <c r="D89" i="21" s="1"/>
  <c r="D62" i="33"/>
  <c r="Z165" i="12"/>
  <c r="BV107" i="12"/>
  <c r="AV107" i="12"/>
  <c r="AI107" i="12"/>
  <c r="V107" i="12"/>
  <c r="BI107" i="12"/>
  <c r="BV112" i="12"/>
  <c r="AV112" i="12"/>
  <c r="AI112" i="12"/>
  <c r="V112" i="12"/>
  <c r="BI112" i="12"/>
  <c r="BV64" i="12"/>
  <c r="AV64" i="12"/>
  <c r="AI64" i="12"/>
  <c r="V64" i="12"/>
  <c r="BI64" i="12"/>
  <c r="BZ125" i="12"/>
  <c r="AX133" i="12"/>
  <c r="AX103" i="12"/>
  <c r="AX80" i="12"/>
  <c r="AX149" i="12"/>
  <c r="AX139" i="12"/>
  <c r="AX131" i="12"/>
  <c r="AX84" i="12"/>
  <c r="AX61" i="12"/>
  <c r="AX24" i="12"/>
  <c r="AX150" i="12"/>
  <c r="AX136" i="12"/>
  <c r="AX132" i="12"/>
  <c r="AX118" i="12"/>
  <c r="AX105" i="12"/>
  <c r="AX86" i="12"/>
  <c r="AX75" i="12"/>
  <c r="AX59" i="12"/>
  <c r="AX114" i="12"/>
  <c r="AX100" i="12"/>
  <c r="AX94" i="12"/>
  <c r="AX85" i="12"/>
  <c r="AX81" i="12"/>
  <c r="AX63" i="12"/>
  <c r="K63" i="26"/>
  <c r="W44" i="12" s="1"/>
  <c r="K60" i="29"/>
  <c r="BJ25" i="12"/>
  <c r="BJ140" i="12"/>
  <c r="K63" i="29"/>
  <c r="BJ44" i="12" s="1"/>
  <c r="BJ73" i="12"/>
  <c r="BW25" i="12"/>
  <c r="K60" i="30"/>
  <c r="BW153" i="12"/>
  <c r="BW77" i="12"/>
  <c r="AH113" i="12"/>
  <c r="AJ82" i="12"/>
  <c r="AJ25" i="12"/>
  <c r="K60" i="27"/>
  <c r="W25" i="12"/>
  <c r="K60" i="26"/>
  <c r="AW25" i="12"/>
  <c r="K60" i="28"/>
  <c r="AW140" i="12"/>
  <c r="BH113" i="12"/>
  <c r="BV111" i="12"/>
  <c r="V111" i="12"/>
  <c r="AI111" i="12"/>
  <c r="AV111" i="12"/>
  <c r="BI111" i="12"/>
  <c r="BV110" i="12"/>
  <c r="V110" i="12"/>
  <c r="AI110" i="12"/>
  <c r="AV110" i="12"/>
  <c r="BI110" i="12"/>
  <c r="BV109" i="12"/>
  <c r="AI109" i="12"/>
  <c r="AV109" i="12"/>
  <c r="V109" i="12"/>
  <c r="BI109" i="12"/>
  <c r="BL94" i="12"/>
  <c r="X125" i="12"/>
  <c r="BK63" i="12"/>
  <c r="BK81" i="12"/>
  <c r="BK85" i="12"/>
  <c r="BK89" i="12"/>
  <c r="BK103" i="12"/>
  <c r="BK132" i="12"/>
  <c r="BK136" i="12"/>
  <c r="BK150" i="12"/>
  <c r="BK72" i="12"/>
  <c r="BK78" i="12"/>
  <c r="BK131" i="12"/>
  <c r="BK139" i="12"/>
  <c r="BK149" i="12"/>
  <c r="BK32" i="12"/>
  <c r="BK66" i="12"/>
  <c r="BK80" i="12"/>
  <c r="BK100" i="12"/>
  <c r="BK129" i="12"/>
  <c r="BK137" i="12"/>
  <c r="BK151" i="12"/>
  <c r="BK23" i="12"/>
  <c r="BK60" i="12"/>
  <c r="BK74" i="12"/>
  <c r="BK79" i="12"/>
  <c r="BK83" i="12"/>
  <c r="BK87" i="12"/>
  <c r="BK114" i="12"/>
  <c r="BK119" i="12"/>
  <c r="BK130" i="12"/>
  <c r="BK134" i="12"/>
  <c r="BK138" i="12"/>
  <c r="BK148" i="12"/>
  <c r="BK152" i="12"/>
  <c r="BK59" i="12"/>
  <c r="BK75" i="12"/>
  <c r="BK84" i="12"/>
  <c r="BK135" i="12"/>
  <c r="BK61" i="12"/>
  <c r="BK86" i="12"/>
  <c r="BK120" i="12"/>
  <c r="BK133" i="12"/>
  <c r="BX60" i="12"/>
  <c r="BX75" i="12"/>
  <c r="BX66" i="12"/>
  <c r="BX74" i="12"/>
  <c r="BX80" i="12"/>
  <c r="BX85" i="12"/>
  <c r="BX89" i="12"/>
  <c r="BX100" i="12"/>
  <c r="BX114" i="12"/>
  <c r="BX120" i="12"/>
  <c r="BX129" i="12"/>
  <c r="BX133" i="12"/>
  <c r="BX137" i="12"/>
  <c r="BX151" i="12"/>
  <c r="BX59" i="12"/>
  <c r="BX81" i="12"/>
  <c r="BX86" i="12"/>
  <c r="BX130" i="12"/>
  <c r="BX138" i="12"/>
  <c r="BX148" i="12"/>
  <c r="BX132" i="12"/>
  <c r="BX150" i="12"/>
  <c r="BX26" i="12"/>
  <c r="BX32" i="12"/>
  <c r="BX63" i="12"/>
  <c r="BX61" i="12"/>
  <c r="BX78" i="12"/>
  <c r="BX83" i="12"/>
  <c r="BX87" i="12"/>
  <c r="BX131" i="12"/>
  <c r="BX135" i="12"/>
  <c r="BX139" i="12"/>
  <c r="BX149" i="12"/>
  <c r="BX23" i="12"/>
  <c r="BX72" i="12"/>
  <c r="BX79" i="12"/>
  <c r="BX84" i="12"/>
  <c r="BX103" i="12"/>
  <c r="BX119" i="12"/>
  <c r="BX134" i="12"/>
  <c r="BX152" i="12"/>
  <c r="BX136" i="12"/>
  <c r="AX151" i="12"/>
  <c r="AX137" i="12"/>
  <c r="AX129" i="12"/>
  <c r="AX66" i="12"/>
  <c r="AX135" i="12"/>
  <c r="AX120" i="12"/>
  <c r="AX26" i="12"/>
  <c r="AX152" i="12"/>
  <c r="AX148" i="12"/>
  <c r="AX138" i="12"/>
  <c r="AX134" i="12"/>
  <c r="AX130" i="12"/>
  <c r="AX119" i="12"/>
  <c r="AX89" i="12"/>
  <c r="AX78" i="12"/>
  <c r="AX72" i="12"/>
  <c r="AX87" i="12"/>
  <c r="AX83" i="12"/>
  <c r="AX79" i="12"/>
  <c r="AX74" i="12"/>
  <c r="AX60" i="12"/>
  <c r="AX32" i="12"/>
  <c r="J56" i="29"/>
  <c r="BI37" i="12" s="1"/>
  <c r="J69" i="29"/>
  <c r="BI50" i="12" s="1"/>
  <c r="J75" i="29"/>
  <c r="BI56" i="12" s="1"/>
  <c r="J72" i="29"/>
  <c r="BI53" i="12" s="1"/>
  <c r="BJ153" i="12"/>
  <c r="BJ88" i="12"/>
  <c r="BW140" i="12"/>
  <c r="BW82" i="12"/>
  <c r="BW88" i="12"/>
  <c r="BW73" i="12"/>
  <c r="W88" i="12"/>
  <c r="AJ140" i="12"/>
  <c r="AU113" i="12"/>
  <c r="U113" i="12"/>
  <c r="Y67" i="12"/>
  <c r="Y69" i="12"/>
  <c r="Y91" i="12"/>
  <c r="Y96" i="12"/>
  <c r="Y99" i="12"/>
  <c r="Y101" i="12"/>
  <c r="Y115" i="12"/>
  <c r="Y117" i="12"/>
  <c r="Y126" i="12"/>
  <c r="Y147" i="12"/>
  <c r="Y95" i="12"/>
  <c r="Y124" i="12"/>
  <c r="Y127" i="12"/>
  <c r="Y146" i="12"/>
  <c r="Y68" i="12"/>
  <c r="Y116" i="12"/>
  <c r="M184" i="27"/>
  <c r="M184" i="29"/>
  <c r="M184" i="26"/>
  <c r="Y23" i="12" s="1"/>
  <c r="M184" i="32"/>
  <c r="M184" i="28"/>
  <c r="M184" i="30"/>
  <c r="M78" i="30" s="1"/>
  <c r="AK118" i="12"/>
  <c r="AL68" i="12"/>
  <c r="AL70" i="12"/>
  <c r="AL69" i="12"/>
  <c r="AL93" i="12"/>
  <c r="AL115" i="12"/>
  <c r="AL122" i="12"/>
  <c r="AL67" i="12"/>
  <c r="AL97" i="12"/>
  <c r="AL116" i="12"/>
  <c r="AL123" i="12"/>
  <c r="AL146" i="12"/>
  <c r="AL101" i="12"/>
  <c r="AL121" i="12"/>
  <c r="AL145" i="12"/>
  <c r="AL71" i="12"/>
  <c r="CA68" i="12"/>
  <c r="CA70" i="12"/>
  <c r="CA90" i="12"/>
  <c r="CA95" i="12"/>
  <c r="CA101" i="12"/>
  <c r="CA117" i="12"/>
  <c r="CA126" i="12"/>
  <c r="CA146" i="12"/>
  <c r="CA93" i="12"/>
  <c r="CA96" i="12"/>
  <c r="CA127" i="12"/>
  <c r="CA145" i="12"/>
  <c r="BM67" i="12"/>
  <c r="BM101" i="12"/>
  <c r="BM116" i="12"/>
  <c r="BM121" i="12"/>
  <c r="BM117" i="12"/>
  <c r="BM124" i="12"/>
  <c r="BM145" i="12"/>
  <c r="AY68" i="12"/>
  <c r="AY70" i="12"/>
  <c r="AY90" i="12"/>
  <c r="AY116" i="12"/>
  <c r="AY117" i="12"/>
  <c r="AY122" i="12"/>
  <c r="J72" i="30"/>
  <c r="BV53" i="12" s="1"/>
  <c r="J56" i="30"/>
  <c r="BV37" i="12" s="1"/>
  <c r="J75" i="30"/>
  <c r="BV56" i="12" s="1"/>
  <c r="J69" i="30"/>
  <c r="BV50" i="12" s="1"/>
  <c r="X118" i="12"/>
  <c r="J18" i="32"/>
  <c r="J33" i="32" s="1"/>
  <c r="AE159" i="12"/>
  <c r="D81" i="21"/>
  <c r="P11" i="29"/>
  <c r="P9" i="28"/>
  <c r="L18" i="27"/>
  <c r="L33" i="27" s="1"/>
  <c r="AK15" i="12" s="1"/>
  <c r="P205" i="27"/>
  <c r="P29" i="4" s="1"/>
  <c r="AO169" i="12"/>
  <c r="AO171" i="12" s="1"/>
  <c r="K34" i="26"/>
  <c r="AK8" i="12"/>
  <c r="O210" i="27"/>
  <c r="O46" i="27" s="1"/>
  <c r="O211" i="27"/>
  <c r="O209" i="27"/>
  <c r="O43" i="27" s="1"/>
  <c r="O213" i="27"/>
  <c r="O214" i="27"/>
  <c r="O215" i="27"/>
  <c r="O217" i="27"/>
  <c r="O216" i="27"/>
  <c r="O212" i="27"/>
  <c r="O209" i="28"/>
  <c r="O211" i="28"/>
  <c r="O216" i="28"/>
  <c r="O210" i="28"/>
  <c r="O46" i="28" s="1"/>
  <c r="O212" i="28"/>
  <c r="O217" i="28"/>
  <c r="O214" i="28"/>
  <c r="O213" i="28"/>
  <c r="O215" i="28"/>
  <c r="O214" i="32"/>
  <c r="O216" i="32"/>
  <c r="O213" i="32"/>
  <c r="O209" i="32"/>
  <c r="O211" i="32"/>
  <c r="O215" i="32"/>
  <c r="O212" i="32"/>
  <c r="O217" i="32"/>
  <c r="O210" i="32"/>
  <c r="P5" i="32"/>
  <c r="P215" i="30"/>
  <c r="P210" i="30"/>
  <c r="P46" i="30" s="1"/>
  <c r="P213" i="30"/>
  <c r="P211" i="30"/>
  <c r="P216" i="30"/>
  <c r="P212" i="30"/>
  <c r="P214" i="30"/>
  <c r="P209" i="30"/>
  <c r="P217" i="30"/>
  <c r="O215" i="29"/>
  <c r="O213" i="29"/>
  <c r="O211" i="29"/>
  <c r="O216" i="29"/>
  <c r="O210" i="29"/>
  <c r="O46" i="29" s="1"/>
  <c r="O214" i="29"/>
  <c r="O212" i="29"/>
  <c r="O209" i="29"/>
  <c r="O217" i="29"/>
  <c r="P5" i="29"/>
  <c r="N218" i="27"/>
  <c r="N218" i="28"/>
  <c r="AK12" i="12"/>
  <c r="W6" i="12"/>
  <c r="P5" i="28"/>
  <c r="O28" i="21"/>
  <c r="BB171" i="12"/>
  <c r="N27" i="21"/>
  <c r="N24" i="21" s="1"/>
  <c r="AN171" i="12"/>
  <c r="N171" i="12" s="1"/>
  <c r="AA169" i="33"/>
  <c r="P5" i="27"/>
  <c r="P11" i="32"/>
  <c r="AB171" i="12"/>
  <c r="O26" i="21"/>
  <c r="P9" i="32"/>
  <c r="P80" i="32" s="1"/>
  <c r="K20" i="32"/>
  <c r="N7" i="4"/>
  <c r="N8" i="4" s="1"/>
  <c r="N184" i="34" s="1"/>
  <c r="O6" i="4"/>
  <c r="M19" i="28"/>
  <c r="M20" i="28"/>
  <c r="M17" i="28"/>
  <c r="O182" i="29"/>
  <c r="O113" i="29" s="1"/>
  <c r="L181" i="32"/>
  <c r="L182" i="32" s="1"/>
  <c r="L113" i="32" s="1"/>
  <c r="AK93" i="33" s="1"/>
  <c r="N182" i="26"/>
  <c r="K17" i="32"/>
  <c r="K19" i="32"/>
  <c r="G176" i="32"/>
  <c r="AF156" i="33" s="1"/>
  <c r="F70" i="21" s="1"/>
  <c r="K34" i="27"/>
  <c r="N182" i="28"/>
  <c r="N113" i="28" s="1"/>
  <c r="M19" i="26"/>
  <c r="M20" i="26"/>
  <c r="M17" i="26"/>
  <c r="M23" i="26" s="1"/>
  <c r="M83" i="26" s="1"/>
  <c r="M17" i="27"/>
  <c r="M20" i="27"/>
  <c r="M19" i="27"/>
  <c r="H153" i="33"/>
  <c r="O17" i="30"/>
  <c r="O23" i="30" s="1"/>
  <c r="O83" i="30" s="1"/>
  <c r="O35" i="32" s="1"/>
  <c r="O20" i="30"/>
  <c r="O19" i="30"/>
  <c r="BY6" i="12"/>
  <c r="AM165" i="12"/>
  <c r="N181" i="27"/>
  <c r="N182" i="27" s="1"/>
  <c r="CB165" i="12"/>
  <c r="P181" i="30"/>
  <c r="P182" i="30" s="1"/>
  <c r="P113" i="30" s="1"/>
  <c r="BL12" i="12"/>
  <c r="M18" i="29"/>
  <c r="M33" i="29" s="1"/>
  <c r="BL15" i="12" s="1"/>
  <c r="BL7" i="12"/>
  <c r="O38" i="21"/>
  <c r="BO164" i="12"/>
  <c r="P180" i="29"/>
  <c r="Q167" i="15"/>
  <c r="K218" i="32"/>
  <c r="M180" i="32"/>
  <c r="Y164" i="33"/>
  <c r="L164" i="33" s="1"/>
  <c r="O185" i="32"/>
  <c r="O95" i="32" s="1"/>
  <c r="AN76" i="33" s="1"/>
  <c r="O180" i="26"/>
  <c r="AA164" i="12"/>
  <c r="M35" i="21"/>
  <c r="BA164" i="12"/>
  <c r="O180" i="28"/>
  <c r="O34" i="4"/>
  <c r="AN164" i="12"/>
  <c r="O180" i="27"/>
  <c r="O276" i="15"/>
  <c r="O404" i="15" s="1"/>
  <c r="O284" i="15"/>
  <c r="O412" i="15" s="1"/>
  <c r="O280" i="15"/>
  <c r="O408" i="15" s="1"/>
  <c r="O218" i="26"/>
  <c r="M34" i="30"/>
  <c r="P292" i="15"/>
  <c r="P420" i="15" s="1"/>
  <c r="P283" i="15"/>
  <c r="P411" i="15" s="1"/>
  <c r="P275" i="15"/>
  <c r="P403" i="15" s="1"/>
  <c r="P171" i="15"/>
  <c r="P290" i="15"/>
  <c r="P418" i="15" s="1"/>
  <c r="P279" i="15"/>
  <c r="P407" i="15" s="1"/>
  <c r="BZ8" i="12"/>
  <c r="BZ9" i="12"/>
  <c r="N18" i="30"/>
  <c r="N33" i="30" s="1"/>
  <c r="BZ15" i="12" s="1"/>
  <c r="N16" i="21"/>
  <c r="N17" i="21"/>
  <c r="O12" i="4"/>
  <c r="P11" i="4"/>
  <c r="AB166" i="12"/>
  <c r="M33" i="21"/>
  <c r="N19" i="29"/>
  <c r="N20" i="29"/>
  <c r="N17" i="29"/>
  <c r="N37" i="21"/>
  <c r="P33" i="4"/>
  <c r="BB166" i="12"/>
  <c r="O19" i="21" s="1"/>
  <c r="X166" i="33"/>
  <c r="K165" i="33"/>
  <c r="K166" i="33" s="1"/>
  <c r="K34" i="28"/>
  <c r="O23" i="4"/>
  <c r="P22" i="4"/>
  <c r="P23" i="4" s="1"/>
  <c r="AO166" i="12"/>
  <c r="O18" i="21" s="1"/>
  <c r="P280" i="15"/>
  <c r="P408" i="15" s="1"/>
  <c r="P284" i="15"/>
  <c r="P412" i="15" s="1"/>
  <c r="P276" i="15"/>
  <c r="P404" i="15" s="1"/>
  <c r="AX12" i="12"/>
  <c r="L18" i="28"/>
  <c r="L33" i="28" s="1"/>
  <c r="AX15" i="12" s="1"/>
  <c r="AX7" i="12"/>
  <c r="AX9" i="12"/>
  <c r="AX8" i="12"/>
  <c r="L26" i="26"/>
  <c r="X8" i="12" s="1"/>
  <c r="X9" i="12"/>
  <c r="X7" i="12"/>
  <c r="X12" i="12"/>
  <c r="L18" i="26"/>
  <c r="L33" i="26" s="1"/>
  <c r="X15" i="12" s="1"/>
  <c r="M138" i="27" l="1"/>
  <c r="M26" i="28"/>
  <c r="M23" i="28"/>
  <c r="AY115" i="12"/>
  <c r="M26" i="27"/>
  <c r="M29" i="27" s="1"/>
  <c r="M23" i="27"/>
  <c r="M83" i="27" s="1"/>
  <c r="N42" i="27"/>
  <c r="N44" i="27" s="1"/>
  <c r="N48" i="27"/>
  <c r="N50" i="27" s="1"/>
  <c r="N136" i="27"/>
  <c r="N137" i="27"/>
  <c r="N45" i="27"/>
  <c r="N47" i="27" s="1"/>
  <c r="N113" i="27"/>
  <c r="N42" i="26"/>
  <c r="N44" i="26" s="1"/>
  <c r="N48" i="26"/>
  <c r="N50" i="26" s="1"/>
  <c r="N45" i="26"/>
  <c r="N47" i="26" s="1"/>
  <c r="N113" i="26"/>
  <c r="Z93" i="12" s="1"/>
  <c r="H41" i="33"/>
  <c r="N67" i="32"/>
  <c r="AM48" i="33" s="1"/>
  <c r="H56" i="33"/>
  <c r="O46" i="32"/>
  <c r="AN27" i="33" s="1"/>
  <c r="H43" i="33"/>
  <c r="K93" i="33"/>
  <c r="H50" i="33"/>
  <c r="I26" i="33"/>
  <c r="H53" i="33"/>
  <c r="I23" i="33"/>
  <c r="H25" i="33"/>
  <c r="J6" i="12"/>
  <c r="K23" i="32" s="1"/>
  <c r="K83" i="32" s="1"/>
  <c r="AJ64" i="33" s="1"/>
  <c r="O49" i="32"/>
  <c r="AN30" i="33" s="1"/>
  <c r="N26" i="29"/>
  <c r="N23" i="29"/>
  <c r="N83" i="29" s="1"/>
  <c r="D50" i="21"/>
  <c r="P45" i="30"/>
  <c r="P47" i="30" s="1"/>
  <c r="P42" i="30"/>
  <c r="P44" i="30" s="1"/>
  <c r="P48" i="30"/>
  <c r="P50" i="30" s="1"/>
  <c r="O84" i="30"/>
  <c r="K47" i="32"/>
  <c r="AJ26" i="33"/>
  <c r="K63" i="32"/>
  <c r="AI28" i="33"/>
  <c r="J70" i="32"/>
  <c r="AI51" i="33" s="1"/>
  <c r="J57" i="32"/>
  <c r="AI38" i="33" s="1"/>
  <c r="J73" i="32"/>
  <c r="AI54" i="33" s="1"/>
  <c r="J76" i="32"/>
  <c r="AI57" i="33" s="1"/>
  <c r="K44" i="32"/>
  <c r="AJ23" i="33"/>
  <c r="J23" i="33" s="1"/>
  <c r="K60" i="32"/>
  <c r="AH49" i="33"/>
  <c r="I81" i="32"/>
  <c r="AH62" i="33" s="1"/>
  <c r="K50" i="32"/>
  <c r="AJ29" i="33"/>
  <c r="K66" i="32"/>
  <c r="L48" i="32"/>
  <c r="L42" i="32"/>
  <c r="L45" i="32"/>
  <c r="AI41" i="33"/>
  <c r="J62" i="32"/>
  <c r="AI43" i="33" s="1"/>
  <c r="AI47" i="33"/>
  <c r="J68" i="32"/>
  <c r="AI25" i="33"/>
  <c r="J56" i="32"/>
  <c r="AI37" i="33" s="1"/>
  <c r="J72" i="32"/>
  <c r="AI53" i="33" s="1"/>
  <c r="J75" i="32"/>
  <c r="AI56" i="33" s="1"/>
  <c r="J69" i="32"/>
  <c r="AI50" i="33" s="1"/>
  <c r="AI44" i="33"/>
  <c r="I44" i="33" s="1"/>
  <c r="J65" i="32"/>
  <c r="AI46" i="33" s="1"/>
  <c r="AI31" i="33"/>
  <c r="J77" i="32"/>
  <c r="AI58" i="33" s="1"/>
  <c r="J58" i="32"/>
  <c r="AI39" i="33" s="1"/>
  <c r="J55" i="32"/>
  <c r="AI36" i="33" s="1"/>
  <c r="J71" i="32"/>
  <c r="AI52" i="33" s="1"/>
  <c r="J74" i="32"/>
  <c r="AI55" i="33" s="1"/>
  <c r="M29" i="28"/>
  <c r="M108" i="28"/>
  <c r="N42" i="28"/>
  <c r="N44" i="28" s="1"/>
  <c r="N48" i="28"/>
  <c r="N50" i="28" s="1"/>
  <c r="N136" i="28"/>
  <c r="AZ116" i="12" s="1"/>
  <c r="N45" i="28"/>
  <c r="N47" i="28" s="1"/>
  <c r="N137" i="28"/>
  <c r="K101" i="12"/>
  <c r="X101" i="33" s="1"/>
  <c r="K101" i="33" s="1"/>
  <c r="AX5" i="12"/>
  <c r="D87" i="21"/>
  <c r="P24" i="34"/>
  <c r="CO6" i="12" s="1"/>
  <c r="P83" i="34"/>
  <c r="L84" i="27"/>
  <c r="AK65" i="12" s="1"/>
  <c r="L24" i="27"/>
  <c r="AK6" i="12" s="1"/>
  <c r="L84" i="28"/>
  <c r="AX65" i="12" s="1"/>
  <c r="L24" i="28"/>
  <c r="AX6" i="12" s="1"/>
  <c r="L84" i="26"/>
  <c r="X65" i="12" s="1"/>
  <c r="L24" i="26"/>
  <c r="X6" i="12" s="1"/>
  <c r="M84" i="29"/>
  <c r="BL65" i="12" s="1"/>
  <c r="M24" i="29"/>
  <c r="BL6" i="12" s="1"/>
  <c r="BZ65" i="12"/>
  <c r="N24" i="30"/>
  <c r="O45" i="29"/>
  <c r="O47" i="29" s="1"/>
  <c r="O48" i="29"/>
  <c r="O50" i="29" s="1"/>
  <c r="O42" i="29"/>
  <c r="O44" i="29" s="1"/>
  <c r="G112" i="21"/>
  <c r="M108" i="26"/>
  <c r="M114" i="26"/>
  <c r="N136" i="26"/>
  <c r="N137" i="26"/>
  <c r="M148" i="26"/>
  <c r="O137" i="29"/>
  <c r="BN117" i="12" s="1"/>
  <c r="O136" i="29"/>
  <c r="X5" i="12"/>
  <c r="H37" i="12"/>
  <c r="U37" i="33" s="1"/>
  <c r="H37" i="33" s="1"/>
  <c r="F48" i="21"/>
  <c r="F56" i="21"/>
  <c r="F47" i="21" s="1"/>
  <c r="M148" i="28"/>
  <c r="N29" i="29"/>
  <c r="E72" i="21"/>
  <c r="E63" i="21" s="1"/>
  <c r="F112" i="21"/>
  <c r="G67" i="21"/>
  <c r="G75" i="21"/>
  <c r="G66" i="21" s="1"/>
  <c r="O101" i="30"/>
  <c r="O85" i="29"/>
  <c r="N133" i="29"/>
  <c r="N82" i="28"/>
  <c r="M118" i="27"/>
  <c r="AL98" i="12" s="1"/>
  <c r="M133" i="26"/>
  <c r="N125" i="26"/>
  <c r="M145" i="26"/>
  <c r="Y125" i="12" s="1"/>
  <c r="K76" i="12"/>
  <c r="X76" i="33" s="1"/>
  <c r="K76" i="33" s="1"/>
  <c r="M92" i="26"/>
  <c r="L55" i="26"/>
  <c r="P140" i="32"/>
  <c r="AO120" i="33" s="1"/>
  <c r="P125" i="32"/>
  <c r="P28" i="32" s="1"/>
  <c r="BL5" i="12"/>
  <c r="I7" i="33"/>
  <c r="O25" i="30"/>
  <c r="O26" i="30"/>
  <c r="O30" i="30"/>
  <c r="O27" i="30"/>
  <c r="K30" i="32"/>
  <c r="AJ12" i="33" s="1"/>
  <c r="J12" i="33" s="1"/>
  <c r="K25" i="32"/>
  <c r="AJ7" i="33" s="1"/>
  <c r="K27" i="32"/>
  <c r="AJ9" i="33" s="1"/>
  <c r="J9" i="33" s="1"/>
  <c r="P137" i="30"/>
  <c r="CB117" i="12" s="1"/>
  <c r="P136" i="30"/>
  <c r="O114" i="30"/>
  <c r="BZ76" i="12"/>
  <c r="N55" i="30"/>
  <c r="O148" i="30"/>
  <c r="CA128" i="12" s="1"/>
  <c r="N29" i="30"/>
  <c r="L55" i="27"/>
  <c r="M101" i="28"/>
  <c r="F49" i="12"/>
  <c r="S49" i="33" s="1"/>
  <c r="F49" i="33" s="1"/>
  <c r="J5" i="12"/>
  <c r="W5" i="33" s="1"/>
  <c r="N101" i="29"/>
  <c r="N118" i="29"/>
  <c r="Q53" i="15"/>
  <c r="Q145" i="15"/>
  <c r="P146" i="15"/>
  <c r="P152" i="15"/>
  <c r="P84" i="34"/>
  <c r="CO65" i="12" s="1"/>
  <c r="CO5" i="12"/>
  <c r="D157" i="12"/>
  <c r="BZ5" i="12"/>
  <c r="H65" i="33"/>
  <c r="L96" i="27"/>
  <c r="AK77" i="12" s="1"/>
  <c r="M133" i="27"/>
  <c r="M160" i="27"/>
  <c r="Y9" i="12"/>
  <c r="N82" i="26"/>
  <c r="N111" i="26"/>
  <c r="N103" i="26"/>
  <c r="N112" i="26"/>
  <c r="N110" i="26"/>
  <c r="Z90" i="12" s="1"/>
  <c r="N117" i="26"/>
  <c r="Z97" i="12" s="1"/>
  <c r="N166" i="26"/>
  <c r="Z146" i="12" s="1"/>
  <c r="N169" i="26"/>
  <c r="N115" i="26"/>
  <c r="N172" i="26"/>
  <c r="N167" i="26"/>
  <c r="N170" i="26"/>
  <c r="N116" i="26"/>
  <c r="Z96" i="12" s="1"/>
  <c r="N165" i="26"/>
  <c r="Z145" i="12" s="1"/>
  <c r="N171" i="26"/>
  <c r="N163" i="26"/>
  <c r="N150" i="26"/>
  <c r="N168" i="26"/>
  <c r="N149" i="26"/>
  <c r="N161" i="26"/>
  <c r="N155" i="26"/>
  <c r="N158" i="26"/>
  <c r="N156" i="26"/>
  <c r="N151" i="26"/>
  <c r="N152" i="26"/>
  <c r="N153" i="26"/>
  <c r="N159" i="26"/>
  <c r="N157" i="26"/>
  <c r="N134" i="26"/>
  <c r="N143" i="26"/>
  <c r="Z123" i="12" s="1"/>
  <c r="N147" i="26"/>
  <c r="Z127" i="12" s="1"/>
  <c r="N154" i="26"/>
  <c r="N135" i="26"/>
  <c r="N141" i="26"/>
  <c r="N144" i="26"/>
  <c r="N132" i="26"/>
  <c r="N127" i="26"/>
  <c r="N142" i="26"/>
  <c r="N130" i="26"/>
  <c r="N146" i="26"/>
  <c r="Z126" i="12" s="1"/>
  <c r="N128" i="26"/>
  <c r="N131" i="26"/>
  <c r="N129" i="26"/>
  <c r="N124" i="26"/>
  <c r="N121" i="26"/>
  <c r="Z101" i="12" s="1"/>
  <c r="N122" i="26"/>
  <c r="N119" i="26"/>
  <c r="Z99" i="12" s="1"/>
  <c r="N28" i="26"/>
  <c r="N123" i="26"/>
  <c r="N120" i="26"/>
  <c r="N91" i="26"/>
  <c r="N94" i="26"/>
  <c r="N97" i="26"/>
  <c r="N98" i="26"/>
  <c r="N90" i="26"/>
  <c r="Z71" i="12" s="1"/>
  <c r="N107" i="26"/>
  <c r="N53" i="26"/>
  <c r="N93" i="26"/>
  <c r="N85" i="26"/>
  <c r="N105" i="26"/>
  <c r="N88" i="26"/>
  <c r="Z69" i="12" s="1"/>
  <c r="N54" i="26"/>
  <c r="N104" i="26"/>
  <c r="N87" i="26"/>
  <c r="Z68" i="12" s="1"/>
  <c r="N102" i="26"/>
  <c r="N86" i="26"/>
  <c r="N106" i="26"/>
  <c r="N89" i="26"/>
  <c r="Z70" i="12" s="1"/>
  <c r="N52" i="26"/>
  <c r="N109" i="26"/>
  <c r="N99" i="26"/>
  <c r="N100" i="26"/>
  <c r="N79" i="26"/>
  <c r="N78" i="26"/>
  <c r="N80" i="26"/>
  <c r="N139" i="26"/>
  <c r="N140" i="26"/>
  <c r="N51" i="26"/>
  <c r="Y90" i="12"/>
  <c r="AG49" i="12"/>
  <c r="H81" i="27"/>
  <c r="O92" i="30"/>
  <c r="O133" i="30"/>
  <c r="M173" i="28"/>
  <c r="N138" i="29"/>
  <c r="BM118" i="12" s="1"/>
  <c r="N173" i="29"/>
  <c r="N114" i="29"/>
  <c r="BM94" i="12" s="1"/>
  <c r="BM9" i="12"/>
  <c r="O82" i="29"/>
  <c r="O111" i="29"/>
  <c r="BN91" i="12" s="1"/>
  <c r="O110" i="29"/>
  <c r="BN90" i="12" s="1"/>
  <c r="O103" i="29"/>
  <c r="O112" i="29"/>
  <c r="O115" i="29"/>
  <c r="O168" i="29"/>
  <c r="O116" i="29"/>
  <c r="BN96" i="12" s="1"/>
  <c r="O171" i="29"/>
  <c r="O117" i="29"/>
  <c r="BN97" i="12" s="1"/>
  <c r="O166" i="29"/>
  <c r="BN146" i="12" s="1"/>
  <c r="O169" i="29"/>
  <c r="O172" i="29"/>
  <c r="O167" i="29"/>
  <c r="BN147" i="12" s="1"/>
  <c r="O165" i="29"/>
  <c r="BN145" i="12" s="1"/>
  <c r="O170" i="29"/>
  <c r="O156" i="29"/>
  <c r="O151" i="29"/>
  <c r="O159" i="29"/>
  <c r="O154" i="29"/>
  <c r="O149" i="29"/>
  <c r="O152" i="29"/>
  <c r="O155" i="29"/>
  <c r="O150" i="29"/>
  <c r="O158" i="29"/>
  <c r="O141" i="29"/>
  <c r="BN121" i="12" s="1"/>
  <c r="O134" i="29"/>
  <c r="O139" i="29"/>
  <c r="O162" i="29"/>
  <c r="O164" i="29" s="1"/>
  <c r="O142" i="29"/>
  <c r="BN122" i="12" s="1"/>
  <c r="O135" i="29"/>
  <c r="BN115" i="12" s="1"/>
  <c r="O157" i="29"/>
  <c r="O140" i="29"/>
  <c r="O153" i="29"/>
  <c r="O131" i="29"/>
  <c r="O147" i="29"/>
  <c r="BN127" i="12" s="1"/>
  <c r="O129" i="29"/>
  <c r="O127" i="29"/>
  <c r="O130" i="29"/>
  <c r="O143" i="29"/>
  <c r="BN123" i="12" s="1"/>
  <c r="O132" i="29"/>
  <c r="O128" i="29"/>
  <c r="O144" i="29"/>
  <c r="BN124" i="12" s="1"/>
  <c r="O146" i="29"/>
  <c r="O148" i="29" s="1"/>
  <c r="O124" i="29"/>
  <c r="O120" i="29"/>
  <c r="O122" i="29"/>
  <c r="O125" i="29"/>
  <c r="O28" i="29" s="1"/>
  <c r="O121" i="29"/>
  <c r="BN101" i="12" s="1"/>
  <c r="O123" i="29"/>
  <c r="O91" i="29"/>
  <c r="O109" i="29"/>
  <c r="O97" i="29"/>
  <c r="O104" i="29"/>
  <c r="O94" i="29"/>
  <c r="O100" i="29"/>
  <c r="O107" i="29"/>
  <c r="O98" i="29"/>
  <c r="O105" i="29"/>
  <c r="O90" i="29"/>
  <c r="O119" i="29"/>
  <c r="O102" i="29"/>
  <c r="O78" i="29"/>
  <c r="O89" i="29"/>
  <c r="BN70" i="12" s="1"/>
  <c r="O93" i="29"/>
  <c r="O51" i="29"/>
  <c r="BN93" i="12"/>
  <c r="O87" i="29"/>
  <c r="O54" i="29"/>
  <c r="O79" i="29"/>
  <c r="O52" i="29"/>
  <c r="O106" i="29"/>
  <c r="O88" i="29"/>
  <c r="BN69" i="12" s="1"/>
  <c r="O99" i="29"/>
  <c r="O80" i="29"/>
  <c r="O53" i="29"/>
  <c r="O86" i="29"/>
  <c r="BN67" i="12" s="1"/>
  <c r="O126" i="30"/>
  <c r="O138" i="30"/>
  <c r="CA118" i="12" s="1"/>
  <c r="M92" i="28"/>
  <c r="M118" i="28"/>
  <c r="N126" i="29"/>
  <c r="N164" i="29"/>
  <c r="N111" i="28"/>
  <c r="AZ91" i="12" s="1"/>
  <c r="N117" i="28"/>
  <c r="AZ97" i="12" s="1"/>
  <c r="N103" i="28"/>
  <c r="N112" i="28"/>
  <c r="AZ92" i="12" s="1"/>
  <c r="N110" i="28"/>
  <c r="N141" i="28"/>
  <c r="AZ121" i="12" s="1"/>
  <c r="N115" i="28"/>
  <c r="AZ95" i="12" s="1"/>
  <c r="N167" i="28"/>
  <c r="N116" i="28"/>
  <c r="N170" i="28"/>
  <c r="N165" i="28"/>
  <c r="N168" i="28"/>
  <c r="N171" i="28"/>
  <c r="N166" i="28"/>
  <c r="AZ146" i="12" s="1"/>
  <c r="N172" i="28"/>
  <c r="N152" i="28"/>
  <c r="N155" i="28"/>
  <c r="N150" i="28"/>
  <c r="N158" i="28"/>
  <c r="N153" i="28"/>
  <c r="N161" i="28"/>
  <c r="N156" i="28"/>
  <c r="N169" i="28"/>
  <c r="N163" i="28"/>
  <c r="N151" i="28"/>
  <c r="N159" i="28"/>
  <c r="N154" i="28"/>
  <c r="N134" i="28"/>
  <c r="N144" i="28"/>
  <c r="N146" i="28"/>
  <c r="AZ126" i="12" s="1"/>
  <c r="N149" i="28"/>
  <c r="N142" i="28"/>
  <c r="AZ122" i="12" s="1"/>
  <c r="N135" i="28"/>
  <c r="AZ115" i="12" s="1"/>
  <c r="N147" i="28"/>
  <c r="AZ127" i="12" s="1"/>
  <c r="N157" i="28"/>
  <c r="N143" i="28"/>
  <c r="AZ123" i="12" s="1"/>
  <c r="N132" i="28"/>
  <c r="N127" i="28"/>
  <c r="N130" i="28"/>
  <c r="N128" i="28"/>
  <c r="N131" i="28"/>
  <c r="N129" i="28"/>
  <c r="N119" i="28"/>
  <c r="N90" i="28"/>
  <c r="AZ71" i="12" s="1"/>
  <c r="N123" i="28"/>
  <c r="N93" i="28"/>
  <c r="N120" i="28"/>
  <c r="N124" i="28"/>
  <c r="N94" i="28"/>
  <c r="N122" i="28"/>
  <c r="N121" i="28"/>
  <c r="AZ101" i="12" s="1"/>
  <c r="N106" i="28"/>
  <c r="AZ93" i="12"/>
  <c r="N125" i="28"/>
  <c r="N28" i="28" s="1"/>
  <c r="N99" i="28"/>
  <c r="N104" i="28"/>
  <c r="N107" i="28"/>
  <c r="N109" i="28"/>
  <c r="N97" i="28"/>
  <c r="N105" i="28"/>
  <c r="N91" i="28"/>
  <c r="N85" i="28"/>
  <c r="N102" i="28"/>
  <c r="N88" i="28"/>
  <c r="N54" i="28"/>
  <c r="N86" i="28"/>
  <c r="AZ67" i="12" s="1"/>
  <c r="N52" i="28"/>
  <c r="N89" i="28"/>
  <c r="AZ70" i="12" s="1"/>
  <c r="N98" i="28"/>
  <c r="N87" i="28"/>
  <c r="AZ68" i="12" s="1"/>
  <c r="N53" i="28"/>
  <c r="N78" i="28"/>
  <c r="N100" i="28"/>
  <c r="N79" i="28"/>
  <c r="N80" i="28"/>
  <c r="N139" i="28"/>
  <c r="N140" i="28"/>
  <c r="AY8" i="12"/>
  <c r="M83" i="28"/>
  <c r="O145" i="30"/>
  <c r="O118" i="30"/>
  <c r="CA98" i="12" s="1"/>
  <c r="M96" i="29"/>
  <c r="O169" i="12"/>
  <c r="AB169" i="33" s="1"/>
  <c r="AB171" i="33" s="1"/>
  <c r="M160" i="26"/>
  <c r="M173" i="26"/>
  <c r="M96" i="27"/>
  <c r="M148" i="27"/>
  <c r="M173" i="27"/>
  <c r="BM76" i="12"/>
  <c r="O160" i="30"/>
  <c r="O173" i="30"/>
  <c r="M133" i="28"/>
  <c r="M145" i="28"/>
  <c r="AY125" i="12" s="1"/>
  <c r="N92" i="29"/>
  <c r="M108" i="27"/>
  <c r="M101" i="27"/>
  <c r="CA76" i="12"/>
  <c r="O108" i="30"/>
  <c r="M95" i="28"/>
  <c r="M96" i="28" s="1"/>
  <c r="N148" i="29"/>
  <c r="BM128" i="12" s="1"/>
  <c r="M138" i="26"/>
  <c r="M145" i="27"/>
  <c r="M114" i="27"/>
  <c r="N96" i="29"/>
  <c r="P82" i="30"/>
  <c r="P111" i="30"/>
  <c r="CB91" i="12" s="1"/>
  <c r="P110" i="30"/>
  <c r="CB90" i="12" s="1"/>
  <c r="P112" i="30"/>
  <c r="CB92" i="12" s="1"/>
  <c r="P103" i="30"/>
  <c r="P115" i="30"/>
  <c r="P166" i="30"/>
  <c r="P116" i="30"/>
  <c r="P169" i="30"/>
  <c r="P117" i="30"/>
  <c r="CB97" i="12" s="1"/>
  <c r="P172" i="30"/>
  <c r="P167" i="30"/>
  <c r="CB147" i="12" s="1"/>
  <c r="P170" i="30"/>
  <c r="P165" i="30"/>
  <c r="P171" i="30"/>
  <c r="P150" i="30"/>
  <c r="P158" i="30"/>
  <c r="P153" i="30"/>
  <c r="P151" i="30"/>
  <c r="P159" i="30"/>
  <c r="P154" i="30"/>
  <c r="P168" i="30"/>
  <c r="P149" i="30"/>
  <c r="P155" i="30"/>
  <c r="P152" i="30"/>
  <c r="P157" i="30"/>
  <c r="P156" i="30"/>
  <c r="P134" i="30"/>
  <c r="P141" i="30"/>
  <c r="P144" i="30"/>
  <c r="P139" i="30"/>
  <c r="P146" i="30"/>
  <c r="P128" i="30"/>
  <c r="P135" i="30"/>
  <c r="CB115" i="12" s="1"/>
  <c r="P142" i="30"/>
  <c r="CB122" i="12" s="1"/>
  <c r="P140" i="30"/>
  <c r="P147" i="30"/>
  <c r="P129" i="30"/>
  <c r="P143" i="30"/>
  <c r="CB123" i="12" s="1"/>
  <c r="P132" i="30"/>
  <c r="P130" i="30"/>
  <c r="P127" i="30"/>
  <c r="P131" i="30"/>
  <c r="P122" i="30"/>
  <c r="P125" i="30"/>
  <c r="P28" i="30" s="1"/>
  <c r="P120" i="30"/>
  <c r="P123" i="30"/>
  <c r="P121" i="30"/>
  <c r="P124" i="30"/>
  <c r="CB104" i="12" s="1"/>
  <c r="P119" i="30"/>
  <c r="CB99" i="12" s="1"/>
  <c r="P109" i="30"/>
  <c r="P97" i="30"/>
  <c r="P104" i="30"/>
  <c r="P94" i="30"/>
  <c r="P100" i="30"/>
  <c r="P107" i="30"/>
  <c r="P90" i="30"/>
  <c r="CB71" i="12" s="1"/>
  <c r="P98" i="30"/>
  <c r="P105" i="30"/>
  <c r="CB93" i="12"/>
  <c r="P91" i="30"/>
  <c r="P102" i="30"/>
  <c r="P87" i="30"/>
  <c r="P79" i="30"/>
  <c r="P53" i="30"/>
  <c r="P85" i="30"/>
  <c r="P88" i="30"/>
  <c r="P51" i="30"/>
  <c r="P93" i="30"/>
  <c r="P80" i="30"/>
  <c r="P54" i="30"/>
  <c r="P106" i="30"/>
  <c r="P86" i="30"/>
  <c r="P99" i="30"/>
  <c r="P89" i="30"/>
  <c r="P52" i="30"/>
  <c r="N103" i="27"/>
  <c r="N112" i="27"/>
  <c r="N110" i="27"/>
  <c r="N82" i="27"/>
  <c r="N111" i="27"/>
  <c r="AM91" i="12" s="1"/>
  <c r="N116" i="27"/>
  <c r="N168" i="27"/>
  <c r="N171" i="27"/>
  <c r="N166" i="27"/>
  <c r="AM146" i="12" s="1"/>
  <c r="N117" i="27"/>
  <c r="N169" i="27"/>
  <c r="N172" i="27"/>
  <c r="N115" i="27"/>
  <c r="AM95" i="12" s="1"/>
  <c r="N167" i="27"/>
  <c r="N165" i="27"/>
  <c r="AM145" i="12" s="1"/>
  <c r="N150" i="27"/>
  <c r="N158" i="27"/>
  <c r="N153" i="27"/>
  <c r="N156" i="27"/>
  <c r="N161" i="27"/>
  <c r="N151" i="27"/>
  <c r="N159" i="27"/>
  <c r="N163" i="27"/>
  <c r="N154" i="27"/>
  <c r="N149" i="27"/>
  <c r="N157" i="27"/>
  <c r="N170" i="27"/>
  <c r="N152" i="27"/>
  <c r="N141" i="27"/>
  <c r="AM121" i="12" s="1"/>
  <c r="N146" i="27"/>
  <c r="N144" i="27"/>
  <c r="AM124" i="12" s="1"/>
  <c r="N155" i="27"/>
  <c r="N139" i="27"/>
  <c r="N134" i="27"/>
  <c r="N142" i="27"/>
  <c r="N147" i="27"/>
  <c r="N135" i="27"/>
  <c r="N138" i="27" s="1"/>
  <c r="N143" i="27"/>
  <c r="N130" i="27"/>
  <c r="N128" i="27"/>
  <c r="N131" i="27"/>
  <c r="N140" i="27"/>
  <c r="N129" i="27"/>
  <c r="N132" i="27"/>
  <c r="N127" i="27"/>
  <c r="N124" i="27"/>
  <c r="N94" i="27"/>
  <c r="N100" i="27"/>
  <c r="N107" i="27"/>
  <c r="N121" i="27"/>
  <c r="N90" i="27"/>
  <c r="N122" i="27"/>
  <c r="N98" i="27"/>
  <c r="N105" i="27"/>
  <c r="N125" i="27"/>
  <c r="N28" i="27" s="1"/>
  <c r="N119" i="27"/>
  <c r="N91" i="27"/>
  <c r="N102" i="27"/>
  <c r="N123" i="27"/>
  <c r="N93" i="27"/>
  <c r="N99" i="27"/>
  <c r="N106" i="27"/>
  <c r="N120" i="27"/>
  <c r="N109" i="27"/>
  <c r="N104" i="27"/>
  <c r="N97" i="27"/>
  <c r="N78" i="27"/>
  <c r="N86" i="27"/>
  <c r="AM67" i="12" s="1"/>
  <c r="N53" i="27"/>
  <c r="N89" i="27"/>
  <c r="N79" i="27"/>
  <c r="N51" i="27"/>
  <c r="N87" i="27"/>
  <c r="N54" i="27"/>
  <c r="N88" i="27"/>
  <c r="N80" i="27"/>
  <c r="N85" i="27"/>
  <c r="N52" i="27"/>
  <c r="N51" i="28"/>
  <c r="M126" i="28"/>
  <c r="M114" i="28"/>
  <c r="AY94" i="12" s="1"/>
  <c r="N145" i="29"/>
  <c r="BM125" i="12" s="1"/>
  <c r="N160" i="29"/>
  <c r="J29" i="32"/>
  <c r="AI11" i="33" s="1"/>
  <c r="M101" i="26"/>
  <c r="M126" i="26"/>
  <c r="M118" i="26"/>
  <c r="M92" i="27"/>
  <c r="L111" i="32"/>
  <c r="L112" i="32"/>
  <c r="L110" i="32"/>
  <c r="AL76" i="12"/>
  <c r="M160" i="28"/>
  <c r="N108" i="29"/>
  <c r="M95" i="26"/>
  <c r="M96" i="26" s="1"/>
  <c r="M126" i="27"/>
  <c r="L91" i="12"/>
  <c r="Y91" i="33" s="1"/>
  <c r="AT49" i="12"/>
  <c r="H81" i="28"/>
  <c r="BG49" i="12"/>
  <c r="H81" i="29"/>
  <c r="CJ55" i="12"/>
  <c r="K81" i="34"/>
  <c r="CJ62" i="12" s="1"/>
  <c r="T38" i="12"/>
  <c r="G38" i="12" s="1"/>
  <c r="T38" i="33" s="1"/>
  <c r="G38" i="33" s="1"/>
  <c r="H81" i="26"/>
  <c r="V37" i="12"/>
  <c r="I37" i="12" s="1"/>
  <c r="V37" i="33" s="1"/>
  <c r="J24" i="32"/>
  <c r="AI6" i="33" s="1"/>
  <c r="AI5" i="33"/>
  <c r="I5" i="33" s="1"/>
  <c r="J84" i="32"/>
  <c r="AI65" i="33" s="1"/>
  <c r="AM106" i="33"/>
  <c r="AM10" i="33"/>
  <c r="K128" i="12"/>
  <c r="X128" i="33" s="1"/>
  <c r="L71" i="12"/>
  <c r="Y71" i="33" s="1"/>
  <c r="L71" i="33" s="1"/>
  <c r="K7" i="12"/>
  <c r="M39" i="34"/>
  <c r="CL21" i="12" s="1"/>
  <c r="L57" i="21" s="1"/>
  <c r="K9" i="12"/>
  <c r="X9" i="33" s="1"/>
  <c r="O166" i="12"/>
  <c r="O16" i="21" s="1"/>
  <c r="N164" i="12"/>
  <c r="J65" i="12"/>
  <c r="L123" i="12"/>
  <c r="Y123" i="33" s="1"/>
  <c r="L116" i="12"/>
  <c r="Y116" i="33" s="1"/>
  <c r="AT10" i="12"/>
  <c r="G10" i="12" s="1"/>
  <c r="T10" i="33" s="1"/>
  <c r="G10" i="33" s="1"/>
  <c r="L97" i="12"/>
  <c r="Y97" i="33" s="1"/>
  <c r="L97" i="33" s="1"/>
  <c r="L70" i="12"/>
  <c r="Y70" i="33" s="1"/>
  <c r="L70" i="33" s="1"/>
  <c r="L92" i="12"/>
  <c r="Y92" i="33" s="1"/>
  <c r="BV11" i="12"/>
  <c r="J26" i="12"/>
  <c r="W26" i="33" s="1"/>
  <c r="BQ162" i="12"/>
  <c r="D84" i="21" s="1"/>
  <c r="BT21" i="12"/>
  <c r="H177" i="30"/>
  <c r="G57" i="12"/>
  <c r="T57" i="33" s="1"/>
  <c r="G57" i="33" s="1"/>
  <c r="AT11" i="12"/>
  <c r="J105" i="12"/>
  <c r="W105" i="33" s="1"/>
  <c r="J105" i="33" s="1"/>
  <c r="I42" i="12"/>
  <c r="V42" i="33" s="1"/>
  <c r="I42" i="33" s="1"/>
  <c r="BS157" i="12"/>
  <c r="F93" i="21" s="1"/>
  <c r="F111" i="21" s="1"/>
  <c r="CM105" i="12"/>
  <c r="CK28" i="12"/>
  <c r="L76" i="34"/>
  <c r="CK57" i="12" s="1"/>
  <c r="L70" i="34"/>
  <c r="CK51" i="12" s="1"/>
  <c r="L73" i="34"/>
  <c r="CK54" i="12" s="1"/>
  <c r="L57" i="34"/>
  <c r="CK38" i="12" s="1"/>
  <c r="CL23" i="12"/>
  <c r="M60" i="34"/>
  <c r="K39" i="34"/>
  <c r="CJ21" i="12" s="1"/>
  <c r="J57" i="21" s="1"/>
  <c r="CJ11" i="12"/>
  <c r="CK44" i="12"/>
  <c r="L65" i="34"/>
  <c r="CK46" i="12" s="1"/>
  <c r="CK47" i="12"/>
  <c r="L68" i="34"/>
  <c r="CL32" i="12"/>
  <c r="M59" i="34"/>
  <c r="CL40" i="12" s="1"/>
  <c r="K137" i="12"/>
  <c r="X137" i="33" s="1"/>
  <c r="K137" i="33" s="1"/>
  <c r="K149" i="12"/>
  <c r="X149" i="33" s="1"/>
  <c r="K149" i="33" s="1"/>
  <c r="K83" i="12"/>
  <c r="J140" i="12"/>
  <c r="CK31" i="12"/>
  <c r="L58" i="34"/>
  <c r="CK39" i="12" s="1"/>
  <c r="L74" i="34"/>
  <c r="CK55" i="12" s="1"/>
  <c r="L71" i="34"/>
  <c r="CK52" i="12" s="1"/>
  <c r="L77" i="34"/>
  <c r="CK58" i="12" s="1"/>
  <c r="CL29" i="12"/>
  <c r="M66" i="34"/>
  <c r="CL66" i="12"/>
  <c r="CL73" i="12"/>
  <c r="BD162" i="12"/>
  <c r="D83" i="21" s="1"/>
  <c r="D110" i="21"/>
  <c r="G51" i="12"/>
  <c r="T51" i="33" s="1"/>
  <c r="G51" i="33" s="1"/>
  <c r="CL78" i="12"/>
  <c r="CL82" i="12"/>
  <c r="CL24" i="12"/>
  <c r="M61" i="34"/>
  <c r="CL42" i="12" s="1"/>
  <c r="I53" i="12"/>
  <c r="V53" i="33" s="1"/>
  <c r="J141" i="12"/>
  <c r="W141" i="33" s="1"/>
  <c r="J141" i="33" s="1"/>
  <c r="CL77" i="12"/>
  <c r="CL74" i="12"/>
  <c r="CL26" i="12"/>
  <c r="M63" i="34"/>
  <c r="CK36" i="12"/>
  <c r="CK10" i="12"/>
  <c r="CL102" i="12"/>
  <c r="CL106" i="12"/>
  <c r="CL148" i="12"/>
  <c r="CL153" i="12"/>
  <c r="CL30" i="12"/>
  <c r="M67" i="34"/>
  <c r="CL48" i="12" s="1"/>
  <c r="CJ37" i="12"/>
  <c r="CM139" i="12"/>
  <c r="CM131" i="12"/>
  <c r="CM152" i="12"/>
  <c r="CM135" i="12"/>
  <c r="CM143" i="12"/>
  <c r="CM103" i="12"/>
  <c r="CM72" i="12"/>
  <c r="CM89" i="12"/>
  <c r="CM84" i="12"/>
  <c r="CM87" i="12"/>
  <c r="CM136" i="12"/>
  <c r="CM114" i="12"/>
  <c r="CM34" i="12"/>
  <c r="CM83" i="12"/>
  <c r="CM151" i="12"/>
  <c r="CM138" i="12"/>
  <c r="CM137" i="12"/>
  <c r="CM142" i="12"/>
  <c r="CM132" i="12"/>
  <c r="CM130" i="12"/>
  <c r="CM100" i="12"/>
  <c r="CM85" i="12"/>
  <c r="CM133" i="12"/>
  <c r="CM63" i="12"/>
  <c r="CM79" i="12"/>
  <c r="CM150" i="12"/>
  <c r="CM134" i="12"/>
  <c r="CM149" i="12"/>
  <c r="CM80" i="12"/>
  <c r="CM81" i="12"/>
  <c r="CM33" i="12"/>
  <c r="CM60" i="12"/>
  <c r="CM119" i="12"/>
  <c r="CM120" i="12"/>
  <c r="CM59" i="12"/>
  <c r="CM61" i="12"/>
  <c r="CM75" i="12"/>
  <c r="K134" i="12"/>
  <c r="X134" i="33" s="1"/>
  <c r="K134" i="33" s="1"/>
  <c r="K132" i="12"/>
  <c r="X132" i="33" s="1"/>
  <c r="K132" i="33" s="1"/>
  <c r="K34" i="12"/>
  <c r="X34" i="33" s="1"/>
  <c r="K34" i="33" s="1"/>
  <c r="J74" i="12"/>
  <c r="W74" i="33" s="1"/>
  <c r="J74" i="33" s="1"/>
  <c r="CL141" i="12"/>
  <c r="CL144" i="12"/>
  <c r="CK25" i="12"/>
  <c r="L75" i="34"/>
  <c r="CK56" i="12" s="1"/>
  <c r="L56" i="34"/>
  <c r="L72" i="34"/>
  <c r="CK53" i="12" s="1"/>
  <c r="L69" i="34"/>
  <c r="CK50" i="12" s="1"/>
  <c r="G45" i="12"/>
  <c r="T45" i="33" s="1"/>
  <c r="G45" i="33" s="1"/>
  <c r="I30" i="12"/>
  <c r="V30" i="33" s="1"/>
  <c r="I30" i="33" s="1"/>
  <c r="J24" i="12"/>
  <c r="W24" i="33" s="1"/>
  <c r="J24" i="33" s="1"/>
  <c r="CL27" i="12"/>
  <c r="M64" i="34"/>
  <c r="CL45" i="12" s="1"/>
  <c r="CL35" i="12"/>
  <c r="CL129" i="12"/>
  <c r="CL140" i="12"/>
  <c r="CL86" i="12"/>
  <c r="CL88" i="12"/>
  <c r="L62" i="34"/>
  <c r="CK43" i="12" s="1"/>
  <c r="CK41" i="12"/>
  <c r="K72" i="12"/>
  <c r="X72" i="33" s="1"/>
  <c r="K72" i="33" s="1"/>
  <c r="K151" i="12"/>
  <c r="X151" i="33" s="1"/>
  <c r="K151" i="33" s="1"/>
  <c r="K8" i="12"/>
  <c r="X8" i="33" s="1"/>
  <c r="L104" i="12"/>
  <c r="Y104" i="33" s="1"/>
  <c r="L104" i="33" s="1"/>
  <c r="L115" i="12"/>
  <c r="Y115" i="33" s="1"/>
  <c r="L67" i="12"/>
  <c r="Y67" i="33" s="1"/>
  <c r="J25" i="12"/>
  <c r="W25" i="33" s="1"/>
  <c r="K100" i="12"/>
  <c r="X100" i="33" s="1"/>
  <c r="K103" i="12"/>
  <c r="X103" i="33" s="1"/>
  <c r="K103" i="33" s="1"/>
  <c r="K89" i="12"/>
  <c r="K78" i="12"/>
  <c r="X78" i="33" s="1"/>
  <c r="K78" i="33" s="1"/>
  <c r="K87" i="12"/>
  <c r="X87" i="33" s="1"/>
  <c r="K87" i="33" s="1"/>
  <c r="I27" i="12"/>
  <c r="V27" i="33" s="1"/>
  <c r="I27" i="33" s="1"/>
  <c r="I41" i="12"/>
  <c r="V41" i="33" s="1"/>
  <c r="G31" i="12"/>
  <c r="T31" i="33" s="1"/>
  <c r="G31" i="33" s="1"/>
  <c r="H106" i="12"/>
  <c r="K35" i="12"/>
  <c r="X35" i="33" s="1"/>
  <c r="K35" i="33" s="1"/>
  <c r="K94" i="12"/>
  <c r="X94" i="33" s="1"/>
  <c r="K114" i="12"/>
  <c r="K139" i="12"/>
  <c r="X139" i="33" s="1"/>
  <c r="K139" i="33" s="1"/>
  <c r="G58" i="12"/>
  <c r="T58" i="33" s="1"/>
  <c r="G58" i="33" s="1"/>
  <c r="I43" i="12"/>
  <c r="V43" i="33" s="1"/>
  <c r="G36" i="12"/>
  <c r="K33" i="12"/>
  <c r="X33" i="33" s="1"/>
  <c r="K33" i="33" s="1"/>
  <c r="I73" i="12"/>
  <c r="V73" i="33" s="1"/>
  <c r="I73" i="33" s="1"/>
  <c r="L147" i="12"/>
  <c r="Y147" i="33" s="1"/>
  <c r="L147" i="33" s="1"/>
  <c r="L99" i="12"/>
  <c r="M165" i="12"/>
  <c r="N181" i="32" s="1"/>
  <c r="N182" i="32" s="1"/>
  <c r="N113" i="32" s="1"/>
  <c r="AM93" i="33" s="1"/>
  <c r="K120" i="12"/>
  <c r="K148" i="12"/>
  <c r="X148" i="33" s="1"/>
  <c r="K148" i="33" s="1"/>
  <c r="K81" i="12"/>
  <c r="X81" i="33" s="1"/>
  <c r="K81" i="33" s="1"/>
  <c r="J77" i="12"/>
  <c r="G52" i="12"/>
  <c r="T52" i="33" s="1"/>
  <c r="G52" i="33" s="1"/>
  <c r="I56" i="12"/>
  <c r="V56" i="33" s="1"/>
  <c r="J73" i="12"/>
  <c r="W73" i="33" s="1"/>
  <c r="K143" i="12"/>
  <c r="X143" i="33" s="1"/>
  <c r="K143" i="33" s="1"/>
  <c r="L101" i="12"/>
  <c r="Y101" i="33" s="1"/>
  <c r="L101" i="33" s="1"/>
  <c r="K129" i="12"/>
  <c r="X129" i="33" s="1"/>
  <c r="K129" i="33" s="1"/>
  <c r="K119" i="12"/>
  <c r="K59" i="12"/>
  <c r="X59" i="33" s="1"/>
  <c r="K59" i="33" s="1"/>
  <c r="K79" i="12"/>
  <c r="X79" i="33" s="1"/>
  <c r="K79" i="33" s="1"/>
  <c r="G54" i="12"/>
  <c r="T54" i="33" s="1"/>
  <c r="G54" i="33" s="1"/>
  <c r="G55" i="12"/>
  <c r="T55" i="33" s="1"/>
  <c r="G55" i="33" s="1"/>
  <c r="G46" i="12"/>
  <c r="T46" i="33" s="1"/>
  <c r="G46" i="33" s="1"/>
  <c r="I48" i="12"/>
  <c r="V48" i="33" s="1"/>
  <c r="I48" i="33" s="1"/>
  <c r="J42" i="12"/>
  <c r="W42" i="33" s="1"/>
  <c r="J42" i="33" s="1"/>
  <c r="K142" i="12"/>
  <c r="X142" i="33" s="1"/>
  <c r="K142" i="33" s="1"/>
  <c r="CF162" i="12"/>
  <c r="K15" i="12"/>
  <c r="X15" i="33" s="1"/>
  <c r="L68" i="12"/>
  <c r="Y68" i="33" s="1"/>
  <c r="L68" i="33" s="1"/>
  <c r="L145" i="12"/>
  <c r="Y145" i="33" s="1"/>
  <c r="L96" i="12"/>
  <c r="Y96" i="33" s="1"/>
  <c r="L96" i="33" s="1"/>
  <c r="K12" i="12"/>
  <c r="X12" i="33" s="1"/>
  <c r="K118" i="12"/>
  <c r="X118" i="33" s="1"/>
  <c r="L146" i="12"/>
  <c r="Y146" i="33" s="1"/>
  <c r="L126" i="12"/>
  <c r="Y126" i="33" s="1"/>
  <c r="L93" i="12"/>
  <c r="Y93" i="33" s="1"/>
  <c r="J88" i="12"/>
  <c r="K60" i="12"/>
  <c r="X60" i="33" s="1"/>
  <c r="K60" i="33" s="1"/>
  <c r="K133" i="12"/>
  <c r="X133" i="33" s="1"/>
  <c r="K133" i="33" s="1"/>
  <c r="K136" i="12"/>
  <c r="X136" i="33" s="1"/>
  <c r="K136" i="33" s="1"/>
  <c r="K66" i="12"/>
  <c r="X66" i="33" s="1"/>
  <c r="K66" i="33" s="1"/>
  <c r="K138" i="12"/>
  <c r="X138" i="33" s="1"/>
  <c r="K138" i="33" s="1"/>
  <c r="K130" i="12"/>
  <c r="X130" i="33" s="1"/>
  <c r="K130" i="33" s="1"/>
  <c r="J82" i="12"/>
  <c r="G39" i="12"/>
  <c r="T39" i="33" s="1"/>
  <c r="G39" i="33" s="1"/>
  <c r="I25" i="12"/>
  <c r="V25" i="33" s="1"/>
  <c r="E62" i="12"/>
  <c r="R62" i="33" s="1"/>
  <c r="I50" i="12"/>
  <c r="V50" i="33" s="1"/>
  <c r="L121" i="12"/>
  <c r="K125" i="12"/>
  <c r="X125" i="33" s="1"/>
  <c r="K80" i="12"/>
  <c r="X80" i="33" s="1"/>
  <c r="K80" i="33" s="1"/>
  <c r="K150" i="12"/>
  <c r="X150" i="33" s="1"/>
  <c r="K150" i="33" s="1"/>
  <c r="K63" i="12"/>
  <c r="K135" i="12"/>
  <c r="X135" i="33" s="1"/>
  <c r="K135" i="33" s="1"/>
  <c r="J153" i="12"/>
  <c r="W153" i="33" s="1"/>
  <c r="I29" i="12"/>
  <c r="V29" i="33" s="1"/>
  <c r="I29" i="33" s="1"/>
  <c r="G47" i="12"/>
  <c r="T47" i="33" s="1"/>
  <c r="G47" i="33" s="1"/>
  <c r="W87" i="33"/>
  <c r="J87" i="33" s="1"/>
  <c r="I16" i="12"/>
  <c r="V16" i="33" s="1"/>
  <c r="L124" i="12"/>
  <c r="Y124" i="33" s="1"/>
  <c r="L95" i="12"/>
  <c r="Y95" i="33" s="1"/>
  <c r="L95" i="33" s="1"/>
  <c r="L117" i="12"/>
  <c r="Y117" i="33" s="1"/>
  <c r="L69" i="12"/>
  <c r="Y69" i="33" s="1"/>
  <c r="L69" i="33" s="1"/>
  <c r="J44" i="12"/>
  <c r="W44" i="33" s="1"/>
  <c r="K85" i="12"/>
  <c r="K61" i="12"/>
  <c r="X61" i="33" s="1"/>
  <c r="K61" i="33" s="1"/>
  <c r="K84" i="12"/>
  <c r="K152" i="12"/>
  <c r="X152" i="33" s="1"/>
  <c r="K152" i="33" s="1"/>
  <c r="K74" i="12"/>
  <c r="X74" i="33" s="1"/>
  <c r="K74" i="33" s="1"/>
  <c r="H28" i="12"/>
  <c r="U28" i="33" s="1"/>
  <c r="H28" i="33" s="1"/>
  <c r="J40" i="12"/>
  <c r="W40" i="33" s="1"/>
  <c r="J40" i="33" s="1"/>
  <c r="H102" i="12"/>
  <c r="U102" i="33" s="1"/>
  <c r="H102" i="33" s="1"/>
  <c r="J144" i="12"/>
  <c r="O171" i="12"/>
  <c r="E52" i="21"/>
  <c r="E43" i="21" s="1"/>
  <c r="E11" i="12"/>
  <c r="R11" i="33" s="1"/>
  <c r="J66" i="12"/>
  <c r="W66" i="33" s="1"/>
  <c r="J66" i="33" s="1"/>
  <c r="J32" i="12"/>
  <c r="W32" i="33" s="1"/>
  <c r="J32" i="33" s="1"/>
  <c r="I109" i="12"/>
  <c r="V109" i="33" s="1"/>
  <c r="I109" i="33" s="1"/>
  <c r="I64" i="12"/>
  <c r="I107" i="12"/>
  <c r="V107" i="33" s="1"/>
  <c r="I107" i="33" s="1"/>
  <c r="J176" i="34"/>
  <c r="CI113" i="12"/>
  <c r="E156" i="12"/>
  <c r="E157" i="12" s="1"/>
  <c r="I111" i="12"/>
  <c r="V111" i="33" s="1"/>
  <c r="I111" i="33" s="1"/>
  <c r="I112" i="12"/>
  <c r="V112" i="33" s="1"/>
  <c r="I112" i="33" s="1"/>
  <c r="I176" i="34"/>
  <c r="CH113" i="12"/>
  <c r="H113" i="12" s="1"/>
  <c r="I108" i="12"/>
  <c r="V108" i="33" s="1"/>
  <c r="I108" i="33" s="1"/>
  <c r="I110" i="12"/>
  <c r="V110" i="33" s="1"/>
  <c r="I110" i="33" s="1"/>
  <c r="CJ113" i="12"/>
  <c r="CJ64" i="12"/>
  <c r="O73" i="14"/>
  <c r="Q69" i="8"/>
  <c r="Q74" i="8"/>
  <c r="Q67" i="8"/>
  <c r="Q168" i="8"/>
  <c r="Q169" i="8" s="1"/>
  <c r="Q73" i="8"/>
  <c r="Q70" i="8"/>
  <c r="Q72" i="8"/>
  <c r="Q59" i="14"/>
  <c r="P68" i="14"/>
  <c r="P75" i="14" s="1"/>
  <c r="P151" i="14" s="1"/>
  <c r="P152" i="14" s="1"/>
  <c r="P72" i="14"/>
  <c r="P73" i="14"/>
  <c r="P70" i="14"/>
  <c r="P74" i="14"/>
  <c r="P69" i="14"/>
  <c r="P67" i="14"/>
  <c r="Q58" i="14"/>
  <c r="Q441" i="14"/>
  <c r="AM71" i="12"/>
  <c r="Q64" i="14"/>
  <c r="Q62" i="14"/>
  <c r="Q66" i="14" s="1"/>
  <c r="Q56" i="14"/>
  <c r="Q60" i="14" s="1"/>
  <c r="K67" i="29"/>
  <c r="BJ48" i="12" s="1"/>
  <c r="AH10" i="12"/>
  <c r="G39" i="28"/>
  <c r="AS21" i="12" s="1"/>
  <c r="F54" i="21" s="1"/>
  <c r="F45" i="21" s="1"/>
  <c r="J39" i="29"/>
  <c r="BI21" i="12" s="1"/>
  <c r="K38" i="32"/>
  <c r="AJ17" i="33"/>
  <c r="J17" i="33" s="1"/>
  <c r="S113" i="33"/>
  <c r="F113" i="33" s="1"/>
  <c r="U64" i="33"/>
  <c r="H64" i="33" s="1"/>
  <c r="W84" i="33"/>
  <c r="J84" i="33" s="1"/>
  <c r="X121" i="33"/>
  <c r="K121" i="33" s="1"/>
  <c r="W83" i="33"/>
  <c r="J83" i="33" s="1"/>
  <c r="T106" i="33"/>
  <c r="G106" i="33" s="1"/>
  <c r="V88" i="33"/>
  <c r="I88" i="33" s="1"/>
  <c r="AJ90" i="33"/>
  <c r="J90" i="33" s="1"/>
  <c r="AJ91" i="33"/>
  <c r="J91" i="33" s="1"/>
  <c r="AJ116" i="33"/>
  <c r="J116" i="33" s="1"/>
  <c r="AJ115" i="33"/>
  <c r="J115" i="33" s="1"/>
  <c r="AJ109" i="33"/>
  <c r="AJ146" i="33"/>
  <c r="J146" i="33" s="1"/>
  <c r="AJ124" i="33"/>
  <c r="J124" i="33" s="1"/>
  <c r="AJ112" i="33"/>
  <c r="AJ108" i="33"/>
  <c r="AJ126" i="33"/>
  <c r="J126" i="33" s="1"/>
  <c r="BJ11" i="12"/>
  <c r="BJ10" i="12"/>
  <c r="AI118" i="33"/>
  <c r="I118" i="33" s="1"/>
  <c r="AV11" i="12"/>
  <c r="AV10" i="12"/>
  <c r="W98" i="33"/>
  <c r="J98" i="33" s="1"/>
  <c r="W89" i="33"/>
  <c r="J89" i="33" s="1"/>
  <c r="W114" i="33"/>
  <c r="J114" i="33" s="1"/>
  <c r="W85" i="33"/>
  <c r="J85" i="33" s="1"/>
  <c r="W63" i="33"/>
  <c r="J63" i="33" s="1"/>
  <c r="X99" i="33"/>
  <c r="K99" i="33" s="1"/>
  <c r="V140" i="33"/>
  <c r="I140" i="33" s="1"/>
  <c r="AJ92" i="33"/>
  <c r="J92" i="33" s="1"/>
  <c r="AJ117" i="33"/>
  <c r="J117" i="33" s="1"/>
  <c r="AJ111" i="33"/>
  <c r="AJ107" i="33"/>
  <c r="AJ127" i="33"/>
  <c r="J127" i="33" s="1"/>
  <c r="AJ122" i="33"/>
  <c r="J122" i="33" s="1"/>
  <c r="AJ110" i="33"/>
  <c r="AJ145" i="33"/>
  <c r="J145" i="33" s="1"/>
  <c r="AJ123" i="33"/>
  <c r="J123" i="33" s="1"/>
  <c r="AI128" i="33"/>
  <c r="I128" i="33" s="1"/>
  <c r="BW11" i="12"/>
  <c r="BW10" i="12"/>
  <c r="V77" i="33"/>
  <c r="I77" i="33" s="1"/>
  <c r="AN105" i="33"/>
  <c r="AI20" i="33"/>
  <c r="I20" i="33" s="1"/>
  <c r="W16" i="12"/>
  <c r="J34" i="32"/>
  <c r="AI15" i="33"/>
  <c r="I15" i="33" s="1"/>
  <c r="V65" i="33"/>
  <c r="AG11" i="12"/>
  <c r="H39" i="27"/>
  <c r="AG21" i="12" s="1"/>
  <c r="AJ16" i="12"/>
  <c r="U6" i="33"/>
  <c r="H6" i="33" s="1"/>
  <c r="V6" i="33"/>
  <c r="BK16" i="12"/>
  <c r="AF11" i="12"/>
  <c r="G39" i="27"/>
  <c r="AF21" i="12" s="1"/>
  <c r="F53" i="21" s="1"/>
  <c r="F44" i="21" s="1"/>
  <c r="AH16" i="33"/>
  <c r="H16" i="33" s="1"/>
  <c r="I39" i="32"/>
  <c r="AH21" i="33" s="1"/>
  <c r="AW16" i="12"/>
  <c r="BY16" i="12"/>
  <c r="S11" i="12"/>
  <c r="G39" i="26"/>
  <c r="S21" i="12" s="1"/>
  <c r="AO61" i="33"/>
  <c r="W120" i="33"/>
  <c r="J120" i="33" s="1"/>
  <c r="W119" i="33"/>
  <c r="J119" i="33" s="1"/>
  <c r="AN35" i="33"/>
  <c r="AN60" i="33"/>
  <c r="AN59" i="33"/>
  <c r="V82" i="33"/>
  <c r="I82" i="33" s="1"/>
  <c r="AN34" i="33"/>
  <c r="AN33" i="33"/>
  <c r="AN61" i="33"/>
  <c r="V144" i="33"/>
  <c r="I144" i="33" s="1"/>
  <c r="S36" i="33"/>
  <c r="F36" i="33" s="1"/>
  <c r="F12" i="21" s="1"/>
  <c r="AV106" i="12"/>
  <c r="O27" i="21"/>
  <c r="O24" i="21" s="1"/>
  <c r="X73" i="12"/>
  <c r="N64" i="32"/>
  <c r="F177" i="27"/>
  <c r="W7" i="33"/>
  <c r="H29" i="26"/>
  <c r="AE162" i="33"/>
  <c r="E79" i="21" s="1"/>
  <c r="R21" i="33"/>
  <c r="X144" i="12"/>
  <c r="G177" i="32"/>
  <c r="AF157" i="33" s="1"/>
  <c r="F88" i="21" s="1"/>
  <c r="F106" i="21" s="1"/>
  <c r="AK140" i="12"/>
  <c r="AK131" i="12"/>
  <c r="AK88" i="12"/>
  <c r="AK86" i="12"/>
  <c r="AI10" i="12"/>
  <c r="AI102" i="12"/>
  <c r="I94" i="33"/>
  <c r="I125" i="33"/>
  <c r="Y143" i="12"/>
  <c r="Y141" i="12"/>
  <c r="Y33" i="12"/>
  <c r="AY34" i="12"/>
  <c r="BK141" i="12"/>
  <c r="BK144" i="12"/>
  <c r="O126" i="32"/>
  <c r="AY142" i="12"/>
  <c r="AL143" i="12"/>
  <c r="AL142" i="12"/>
  <c r="AK141" i="12"/>
  <c r="AK144" i="12"/>
  <c r="AL33" i="12"/>
  <c r="O96" i="32"/>
  <c r="AN77" i="33" s="1"/>
  <c r="P185" i="30"/>
  <c r="P95" i="30" s="1"/>
  <c r="N185" i="27"/>
  <c r="N185" i="28"/>
  <c r="N95" i="28" s="1"/>
  <c r="O185" i="29"/>
  <c r="O95" i="29" s="1"/>
  <c r="P78" i="32"/>
  <c r="P79" i="32"/>
  <c r="P121" i="32"/>
  <c r="AO101" i="33" s="1"/>
  <c r="P123" i="32"/>
  <c r="AO103" i="33" s="1"/>
  <c r="P134" i="32"/>
  <c r="AO114" i="33" s="1"/>
  <c r="P122" i="32"/>
  <c r="AO102" i="33" s="1"/>
  <c r="P124" i="32"/>
  <c r="AO104" i="33" s="1"/>
  <c r="P141" i="32"/>
  <c r="AO121" i="33" s="1"/>
  <c r="P115" i="32"/>
  <c r="AO95" i="33" s="1"/>
  <c r="P120" i="32"/>
  <c r="AO100" i="33" s="1"/>
  <c r="P109" i="32"/>
  <c r="AO89" i="33" s="1"/>
  <c r="AO63" i="33"/>
  <c r="BM126" i="12"/>
  <c r="AL128" i="12"/>
  <c r="AL127" i="12"/>
  <c r="AL94" i="12"/>
  <c r="AL90" i="12"/>
  <c r="BY142" i="12"/>
  <c r="BY143" i="12"/>
  <c r="BY35" i="12"/>
  <c r="BY34" i="12"/>
  <c r="BY33" i="12"/>
  <c r="BL142" i="12"/>
  <c r="BL143" i="12"/>
  <c r="BL34" i="12"/>
  <c r="BL33" i="12"/>
  <c r="BL35" i="12"/>
  <c r="AX98" i="12"/>
  <c r="K98" i="12" s="1"/>
  <c r="BV106" i="12"/>
  <c r="BV102" i="12"/>
  <c r="P139" i="32"/>
  <c r="AO119" i="33" s="1"/>
  <c r="K92" i="32"/>
  <c r="AJ73" i="33" s="1"/>
  <c r="J67" i="33"/>
  <c r="Y142" i="12"/>
  <c r="Y35" i="12"/>
  <c r="Y34" i="12"/>
  <c r="AY35" i="12"/>
  <c r="AY33" i="12"/>
  <c r="BX141" i="12"/>
  <c r="BX144" i="12"/>
  <c r="O118" i="32"/>
  <c r="AN98" i="33" s="1"/>
  <c r="AY143" i="12"/>
  <c r="AL34" i="12"/>
  <c r="AX144" i="12"/>
  <c r="AL35" i="12"/>
  <c r="U10" i="12"/>
  <c r="V10" i="12"/>
  <c r="Y122" i="12"/>
  <c r="F177" i="26"/>
  <c r="K62" i="27"/>
  <c r="AJ43" i="12" s="1"/>
  <c r="AJ41" i="12"/>
  <c r="L61" i="27"/>
  <c r="AK24" i="12"/>
  <c r="AF62" i="12"/>
  <c r="G176" i="27"/>
  <c r="AF156" i="12" s="1"/>
  <c r="F72" i="21" s="1"/>
  <c r="K67" i="27"/>
  <c r="AJ48" i="12" s="1"/>
  <c r="AJ30" i="12"/>
  <c r="M61" i="27"/>
  <c r="AL42" i="12" s="1"/>
  <c r="AL24" i="12"/>
  <c r="M63" i="27"/>
  <c r="AL44" i="12" s="1"/>
  <c r="AL26" i="12"/>
  <c r="I65" i="27"/>
  <c r="AH46" i="12" s="1"/>
  <c r="AH45" i="12"/>
  <c r="I68" i="27"/>
  <c r="AH47" i="12"/>
  <c r="F177" i="28"/>
  <c r="K62" i="26"/>
  <c r="W43" i="12" s="1"/>
  <c r="W41" i="12"/>
  <c r="L59" i="26"/>
  <c r="X40" i="12" s="1"/>
  <c r="X32" i="12"/>
  <c r="L60" i="26"/>
  <c r="X41" i="12" s="1"/>
  <c r="X23" i="12"/>
  <c r="I68" i="26"/>
  <c r="U49" i="12" s="1"/>
  <c r="U47" i="12"/>
  <c r="S62" i="12"/>
  <c r="G176" i="26"/>
  <c r="S156" i="12" s="1"/>
  <c r="F71" i="21" s="1"/>
  <c r="K67" i="26"/>
  <c r="W48" i="12" s="1"/>
  <c r="W30" i="12"/>
  <c r="R157" i="12"/>
  <c r="E89" i="21" s="1"/>
  <c r="E107" i="21" s="1"/>
  <c r="X77" i="12"/>
  <c r="X75" i="12"/>
  <c r="L61" i="26"/>
  <c r="X42" i="12" s="1"/>
  <c r="X24" i="12"/>
  <c r="U36" i="12"/>
  <c r="U31" i="12"/>
  <c r="I65" i="26"/>
  <c r="U46" i="12" s="1"/>
  <c r="U45" i="12"/>
  <c r="I68" i="28"/>
  <c r="AU49" i="12" s="1"/>
  <c r="AU47" i="12"/>
  <c r="I65" i="28"/>
  <c r="AU46" i="12" s="1"/>
  <c r="AU45" i="12"/>
  <c r="K67" i="28"/>
  <c r="AW48" i="12" s="1"/>
  <c r="AW30" i="12"/>
  <c r="M61" i="28"/>
  <c r="AY42" i="12" s="1"/>
  <c r="AY24" i="12"/>
  <c r="K62" i="28"/>
  <c r="AW43" i="12" s="1"/>
  <c r="AW41" i="12"/>
  <c r="L60" i="28"/>
  <c r="AX41" i="12" s="1"/>
  <c r="AX23" i="12"/>
  <c r="AU36" i="12"/>
  <c r="AU31" i="12"/>
  <c r="AS62" i="12"/>
  <c r="G176" i="28"/>
  <c r="K62" i="30"/>
  <c r="BW43" i="12" s="1"/>
  <c r="BW41" i="12"/>
  <c r="BU36" i="12"/>
  <c r="BU31" i="12"/>
  <c r="K67" i="30"/>
  <c r="BW48" i="12" s="1"/>
  <c r="BW30" i="12"/>
  <c r="L61" i="30"/>
  <c r="BX42" i="12" s="1"/>
  <c r="BX24" i="12"/>
  <c r="I68" i="30"/>
  <c r="BU47" i="12"/>
  <c r="I65" i="30"/>
  <c r="BU46" i="12" s="1"/>
  <c r="BU45" i="12"/>
  <c r="L61" i="29"/>
  <c r="BK42" i="12" s="1"/>
  <c r="BK24" i="12"/>
  <c r="BH36" i="12"/>
  <c r="BH31" i="12"/>
  <c r="L63" i="29"/>
  <c r="BK44" i="12" s="1"/>
  <c r="BK26" i="12"/>
  <c r="K62" i="29"/>
  <c r="BJ43" i="12" s="1"/>
  <c r="BJ41" i="12"/>
  <c r="BF62" i="12"/>
  <c r="G176" i="29"/>
  <c r="I68" i="29"/>
  <c r="BH47" i="12"/>
  <c r="I65" i="29"/>
  <c r="BH46" i="12" s="1"/>
  <c r="BH45" i="12"/>
  <c r="AR157" i="12"/>
  <c r="E91" i="21" s="1"/>
  <c r="E109" i="21" s="1"/>
  <c r="E54" i="21"/>
  <c r="E45" i="21" s="1"/>
  <c r="AE157" i="12"/>
  <c r="E90" i="21" s="1"/>
  <c r="E53" i="21"/>
  <c r="E44" i="21" s="1"/>
  <c r="BK105" i="12"/>
  <c r="BX105" i="12"/>
  <c r="CA121" i="12"/>
  <c r="N185" i="26"/>
  <c r="K133" i="32"/>
  <c r="AJ113" i="33" s="1"/>
  <c r="K145" i="32"/>
  <c r="AJ125" i="33" s="1"/>
  <c r="K173" i="32"/>
  <c r="AJ153" i="33" s="1"/>
  <c r="L142" i="32"/>
  <c r="L144" i="32"/>
  <c r="L147" i="32"/>
  <c r="L166" i="32"/>
  <c r="L127" i="32"/>
  <c r="CK107" i="12" s="1"/>
  <c r="L129" i="32"/>
  <c r="CK109" i="12" s="1"/>
  <c r="L131" i="32"/>
  <c r="CK111" i="12" s="1"/>
  <c r="L143" i="32"/>
  <c r="L146" i="32"/>
  <c r="L165" i="32"/>
  <c r="L128" i="32"/>
  <c r="CK108" i="12" s="1"/>
  <c r="L130" i="32"/>
  <c r="CK110" i="12" s="1"/>
  <c r="L132" i="32"/>
  <c r="CK112" i="12" s="1"/>
  <c r="L136" i="32"/>
  <c r="L135" i="32"/>
  <c r="AK115" i="33" s="1"/>
  <c r="L137" i="32"/>
  <c r="L86" i="32"/>
  <c r="AK67" i="33" s="1"/>
  <c r="K114" i="32"/>
  <c r="AJ94" i="33" s="1"/>
  <c r="J94" i="33" s="1"/>
  <c r="K138" i="32"/>
  <c r="K148" i="32"/>
  <c r="L59" i="30"/>
  <c r="BX40" i="12" s="1"/>
  <c r="L59" i="28"/>
  <c r="AX40" i="12" s="1"/>
  <c r="L59" i="29"/>
  <c r="BK40" i="12" s="1"/>
  <c r="BK88" i="12"/>
  <c r="AH36" i="12"/>
  <c r="P53" i="32"/>
  <c r="P54" i="32"/>
  <c r="P52" i="32"/>
  <c r="BW27" i="12"/>
  <c r="AW27" i="12"/>
  <c r="BJ27" i="12"/>
  <c r="W27" i="12"/>
  <c r="AJ27" i="12"/>
  <c r="W29" i="12"/>
  <c r="BW29" i="12"/>
  <c r="AW29" i="12"/>
  <c r="AJ29" i="12"/>
  <c r="BJ29" i="12"/>
  <c r="AX29" i="12"/>
  <c r="I71" i="30"/>
  <c r="BU52" i="12" s="1"/>
  <c r="I74" i="30"/>
  <c r="BU55" i="12" s="1"/>
  <c r="I77" i="30"/>
  <c r="BU58" i="12" s="1"/>
  <c r="I58" i="30"/>
  <c r="BU39" i="12" s="1"/>
  <c r="I73" i="26"/>
  <c r="U54" i="12" s="1"/>
  <c r="I57" i="26"/>
  <c r="I70" i="26"/>
  <c r="U51" i="12" s="1"/>
  <c r="I76" i="26"/>
  <c r="U57" i="12" s="1"/>
  <c r="I76" i="27"/>
  <c r="AH57" i="12" s="1"/>
  <c r="I57" i="27"/>
  <c r="AH38" i="12" s="1"/>
  <c r="I70" i="27"/>
  <c r="AH51" i="12" s="1"/>
  <c r="I73" i="27"/>
  <c r="AH54" i="12" s="1"/>
  <c r="J66" i="28"/>
  <c r="AV31" i="12"/>
  <c r="BI31" i="12"/>
  <c r="J66" i="29"/>
  <c r="J66" i="27"/>
  <c r="AI31" i="12"/>
  <c r="I74" i="28"/>
  <c r="I71" i="28"/>
  <c r="AU52" i="12" s="1"/>
  <c r="I58" i="28"/>
  <c r="AU39" i="12" s="1"/>
  <c r="I77" i="28"/>
  <c r="AU58" i="12" s="1"/>
  <c r="I74" i="27"/>
  <c r="AH55" i="12" s="1"/>
  <c r="I71" i="27"/>
  <c r="AH52" i="12" s="1"/>
  <c r="I58" i="27"/>
  <c r="AH39" i="12" s="1"/>
  <c r="I77" i="27"/>
  <c r="AH58" i="12" s="1"/>
  <c r="I58" i="29"/>
  <c r="BH39" i="12" s="1"/>
  <c r="I71" i="29"/>
  <c r="BH52" i="12" s="1"/>
  <c r="I74" i="29"/>
  <c r="BH55" i="12" s="1"/>
  <c r="I77" i="29"/>
  <c r="BH58" i="12" s="1"/>
  <c r="I57" i="29"/>
  <c r="BH38" i="12" s="1"/>
  <c r="I70" i="29"/>
  <c r="BH51" i="12" s="1"/>
  <c r="I73" i="29"/>
  <c r="BH54" i="12" s="1"/>
  <c r="I76" i="29"/>
  <c r="BH57" i="12" s="1"/>
  <c r="I57" i="30"/>
  <c r="I76" i="30"/>
  <c r="BU57" i="12" s="1"/>
  <c r="I70" i="30"/>
  <c r="BU51" i="12" s="1"/>
  <c r="I73" i="30"/>
  <c r="BU54" i="12" s="1"/>
  <c r="I57" i="28"/>
  <c r="AU38" i="12" s="1"/>
  <c r="I70" i="28"/>
  <c r="AU51" i="12" s="1"/>
  <c r="I73" i="28"/>
  <c r="AU54" i="12" s="1"/>
  <c r="I76" i="28"/>
  <c r="AU57" i="12" s="1"/>
  <c r="E62" i="21"/>
  <c r="BI28" i="12"/>
  <c r="J64" i="29"/>
  <c r="J64" i="30"/>
  <c r="BV28" i="12"/>
  <c r="J64" i="27"/>
  <c r="AI28" i="12"/>
  <c r="BX30" i="12"/>
  <c r="BK29" i="12"/>
  <c r="AK153" i="12"/>
  <c r="I58" i="26"/>
  <c r="U39" i="12" s="1"/>
  <c r="I71" i="26"/>
  <c r="U52" i="12" s="1"/>
  <c r="I77" i="26"/>
  <c r="U58" i="12" s="1"/>
  <c r="I74" i="26"/>
  <c r="U55" i="12" s="1"/>
  <c r="J66" i="30"/>
  <c r="V31" i="12"/>
  <c r="J66" i="26"/>
  <c r="E64" i="21"/>
  <c r="J64" i="28"/>
  <c r="AV28" i="12"/>
  <c r="J64" i="26"/>
  <c r="V28" i="12"/>
  <c r="CA94" i="12"/>
  <c r="X140" i="12"/>
  <c r="L75" i="27"/>
  <c r="AK56" i="12" s="1"/>
  <c r="AX153" i="12"/>
  <c r="X153" i="12"/>
  <c r="AK82" i="12"/>
  <c r="X82" i="12"/>
  <c r="BX77" i="12"/>
  <c r="BK73" i="12"/>
  <c r="X88" i="12"/>
  <c r="X25" i="12"/>
  <c r="AK73" i="12"/>
  <c r="AY100" i="12"/>
  <c r="AY85" i="12"/>
  <c r="AY132" i="12"/>
  <c r="AY114" i="12"/>
  <c r="AY149" i="12"/>
  <c r="AY66" i="12"/>
  <c r="AL133" i="12"/>
  <c r="AY134" i="12"/>
  <c r="AY133" i="12"/>
  <c r="AY83" i="12"/>
  <c r="AL152" i="12"/>
  <c r="AL134" i="12"/>
  <c r="AL79" i="12"/>
  <c r="AL85" i="12"/>
  <c r="AY148" i="12"/>
  <c r="AY119" i="12"/>
  <c r="AY81" i="12"/>
  <c r="AY137" i="12"/>
  <c r="AY129" i="12"/>
  <c r="AY120" i="12"/>
  <c r="AY105" i="12"/>
  <c r="AY80" i="12"/>
  <c r="AL137" i="12"/>
  <c r="AL81" i="12"/>
  <c r="AL66" i="12"/>
  <c r="AY86" i="12"/>
  <c r="AY75" i="12"/>
  <c r="AY61" i="12"/>
  <c r="AL75" i="12"/>
  <c r="AL135" i="12"/>
  <c r="AL63" i="12"/>
  <c r="AL148" i="12"/>
  <c r="AL138" i="12"/>
  <c r="AL130" i="12"/>
  <c r="AL119" i="12"/>
  <c r="AL129" i="12"/>
  <c r="AL120" i="12"/>
  <c r="AL100" i="12"/>
  <c r="AL89" i="12"/>
  <c r="AL80" i="12"/>
  <c r="AL74" i="12"/>
  <c r="AL61" i="12"/>
  <c r="L63" i="27"/>
  <c r="AK44" i="12" s="1"/>
  <c r="L59" i="27"/>
  <c r="AK40" i="12" s="1"/>
  <c r="AL118" i="12"/>
  <c r="D82" i="21"/>
  <c r="Y94" i="12"/>
  <c r="Y98" i="12"/>
  <c r="Y128" i="12"/>
  <c r="Q162" i="12"/>
  <c r="D80" i="21" s="1"/>
  <c r="D11" i="21"/>
  <c r="D11" i="33"/>
  <c r="D21" i="33" s="1"/>
  <c r="D43" i="21"/>
  <c r="D42" i="21"/>
  <c r="J100" i="33"/>
  <c r="I153" i="33"/>
  <c r="BI113" i="12"/>
  <c r="W107" i="12"/>
  <c r="AJ107" i="12"/>
  <c r="BW107" i="12"/>
  <c r="BJ107" i="12"/>
  <c r="AW107" i="12"/>
  <c r="AW108" i="12"/>
  <c r="W108" i="12"/>
  <c r="BW108" i="12"/>
  <c r="AJ108" i="12"/>
  <c r="BJ108" i="12"/>
  <c r="AJ109" i="12"/>
  <c r="BW109" i="12"/>
  <c r="AW109" i="12"/>
  <c r="W109" i="12"/>
  <c r="BJ109" i="12"/>
  <c r="W64" i="12"/>
  <c r="BJ64" i="12"/>
  <c r="AW64" i="12"/>
  <c r="AJ64" i="12"/>
  <c r="BW64" i="12"/>
  <c r="M60" i="26"/>
  <c r="Y41" i="12" s="1"/>
  <c r="AY118" i="12"/>
  <c r="Y135" i="12"/>
  <c r="Y85" i="12"/>
  <c r="Y74" i="12"/>
  <c r="Y60" i="12"/>
  <c r="Y150" i="12"/>
  <c r="Y129" i="12"/>
  <c r="Y114" i="12"/>
  <c r="Y83" i="12"/>
  <c r="Y66" i="12"/>
  <c r="Y149" i="12"/>
  <c r="AW111" i="12"/>
  <c r="W111" i="12"/>
  <c r="BW111" i="12"/>
  <c r="BJ111" i="12"/>
  <c r="AJ111" i="12"/>
  <c r="AJ112" i="12"/>
  <c r="AW112" i="12"/>
  <c r="BW112" i="12"/>
  <c r="BJ112" i="12"/>
  <c r="W112" i="12"/>
  <c r="BJ110" i="12"/>
  <c r="AW110" i="12"/>
  <c r="W110" i="12"/>
  <c r="BW110" i="12"/>
  <c r="AJ110" i="12"/>
  <c r="AY152" i="12"/>
  <c r="AY138" i="12"/>
  <c r="AY130" i="12"/>
  <c r="AY74" i="12"/>
  <c r="AY63" i="12"/>
  <c r="AY32" i="12"/>
  <c r="AY150" i="12"/>
  <c r="AY136" i="12"/>
  <c r="AY151" i="12"/>
  <c r="AY139" i="12"/>
  <c r="AY135" i="12"/>
  <c r="AY131" i="12"/>
  <c r="AY128" i="12"/>
  <c r="AY79" i="12"/>
  <c r="AY60" i="12"/>
  <c r="AY23" i="12"/>
  <c r="AY103" i="12"/>
  <c r="AY89" i="12"/>
  <c r="AY84" i="12"/>
  <c r="AY78" i="12"/>
  <c r="AY59" i="12"/>
  <c r="BM98" i="12"/>
  <c r="AL149" i="12"/>
  <c r="AL105" i="12"/>
  <c r="AL151" i="12"/>
  <c r="AL139" i="12"/>
  <c r="AL131" i="12"/>
  <c r="AL114" i="12"/>
  <c r="AL84" i="12"/>
  <c r="AL150" i="12"/>
  <c r="AL136" i="12"/>
  <c r="AL132" i="12"/>
  <c r="AL103" i="12"/>
  <c r="AL86" i="12"/>
  <c r="AL23" i="12"/>
  <c r="AL125" i="12"/>
  <c r="AL87" i="12"/>
  <c r="AL83" i="12"/>
  <c r="AL78" i="12"/>
  <c r="AL60" i="12"/>
  <c r="AL59" i="12"/>
  <c r="AL32" i="12"/>
  <c r="BY23" i="12"/>
  <c r="BY59" i="12"/>
  <c r="BY72" i="12"/>
  <c r="BY75" i="12"/>
  <c r="BY81" i="12"/>
  <c r="BY86" i="12"/>
  <c r="BY119" i="12"/>
  <c r="BY130" i="12"/>
  <c r="BY134" i="12"/>
  <c r="BY138" i="12"/>
  <c r="BY148" i="12"/>
  <c r="BY152" i="12"/>
  <c r="BY26" i="12"/>
  <c r="BY32" i="12"/>
  <c r="BY60" i="12"/>
  <c r="BY80" i="12"/>
  <c r="BY85" i="12"/>
  <c r="BY89" i="12"/>
  <c r="BY100" i="12"/>
  <c r="BY131" i="12"/>
  <c r="BY139" i="12"/>
  <c r="BY114" i="12"/>
  <c r="BY129" i="12"/>
  <c r="BY137" i="12"/>
  <c r="BY151" i="12"/>
  <c r="BY61" i="12"/>
  <c r="BY66" i="12"/>
  <c r="BY74" i="12"/>
  <c r="BY63" i="12"/>
  <c r="BY79" i="12"/>
  <c r="BY84" i="12"/>
  <c r="BY103" i="12"/>
  <c r="BY132" i="12"/>
  <c r="BY136" i="12"/>
  <c r="BY150" i="12"/>
  <c r="BY78" i="12"/>
  <c r="BY83" i="12"/>
  <c r="BY87" i="12"/>
  <c r="BY120" i="12"/>
  <c r="BY135" i="12"/>
  <c r="BY149" i="12"/>
  <c r="BY133" i="12"/>
  <c r="BL32" i="12"/>
  <c r="BL59" i="12"/>
  <c r="BL72" i="12"/>
  <c r="BL78" i="12"/>
  <c r="BL84" i="12"/>
  <c r="BL100" i="12"/>
  <c r="BL120" i="12"/>
  <c r="BL129" i="12"/>
  <c r="BL133" i="12"/>
  <c r="BL137" i="12"/>
  <c r="BL149" i="12"/>
  <c r="BL23" i="12"/>
  <c r="BL60" i="12"/>
  <c r="BL79" i="12"/>
  <c r="BL119" i="12"/>
  <c r="BL132" i="12"/>
  <c r="BL63" i="12"/>
  <c r="BL81" i="12"/>
  <c r="BL87" i="12"/>
  <c r="BL130" i="12"/>
  <c r="BL138" i="12"/>
  <c r="BL152" i="12"/>
  <c r="BL61" i="12"/>
  <c r="BL66" i="12"/>
  <c r="BL75" i="12"/>
  <c r="BL80" i="12"/>
  <c r="BL86" i="12"/>
  <c r="BL131" i="12"/>
  <c r="BL135" i="12"/>
  <c r="BL139" i="12"/>
  <c r="BL151" i="12"/>
  <c r="BL26" i="12"/>
  <c r="BL85" i="12"/>
  <c r="BL103" i="12"/>
  <c r="BL136" i="12"/>
  <c r="BL150" i="12"/>
  <c r="BL74" i="12"/>
  <c r="BL83" i="12"/>
  <c r="BL89" i="12"/>
  <c r="BL114" i="12"/>
  <c r="BL134" i="12"/>
  <c r="BL148" i="12"/>
  <c r="Y152" i="12"/>
  <c r="Y139" i="12"/>
  <c r="Y131" i="12"/>
  <c r="Y100" i="12"/>
  <c r="Y80" i="12"/>
  <c r="Y72" i="12"/>
  <c r="Y133" i="12"/>
  <c r="Y120" i="12"/>
  <c r="Y87" i="12"/>
  <c r="Y78" i="12"/>
  <c r="Y151" i="12"/>
  <c r="Y138" i="12"/>
  <c r="Y134" i="12"/>
  <c r="Y130" i="12"/>
  <c r="Y119" i="12"/>
  <c r="Y118" i="12"/>
  <c r="Y105" i="12"/>
  <c r="Y86" i="12"/>
  <c r="Y81" i="12"/>
  <c r="Y75" i="12"/>
  <c r="Y61" i="12"/>
  <c r="AX77" i="12"/>
  <c r="L63" i="28"/>
  <c r="AX44" i="12" s="1"/>
  <c r="AX73" i="12"/>
  <c r="AX140" i="12"/>
  <c r="L60" i="30"/>
  <c r="BX25" i="12"/>
  <c r="BX82" i="12"/>
  <c r="L63" i="30"/>
  <c r="BX44" i="12" s="1"/>
  <c r="BX153" i="12"/>
  <c r="BX88" i="12"/>
  <c r="BX73" i="12"/>
  <c r="BK153" i="12"/>
  <c r="BK82" i="12"/>
  <c r="BK140" i="12"/>
  <c r="K56" i="28"/>
  <c r="AW37" i="12" s="1"/>
  <c r="K72" i="28"/>
  <c r="AW53" i="12" s="1"/>
  <c r="K69" i="28"/>
  <c r="AW50" i="12" s="1"/>
  <c r="K75" i="28"/>
  <c r="AW56" i="12" s="1"/>
  <c r="K56" i="26"/>
  <c r="K72" i="26"/>
  <c r="W53" i="12" s="1"/>
  <c r="K75" i="26"/>
  <c r="W56" i="12" s="1"/>
  <c r="K69" i="26"/>
  <c r="W50" i="12" s="1"/>
  <c r="AX88" i="12"/>
  <c r="V113" i="12"/>
  <c r="AV113" i="12"/>
  <c r="Y148" i="12"/>
  <c r="Y137" i="12"/>
  <c r="Y26" i="12"/>
  <c r="Y136" i="12"/>
  <c r="Y132" i="12"/>
  <c r="Y103" i="12"/>
  <c r="Y89" i="12"/>
  <c r="Y84" i="12"/>
  <c r="Y79" i="12"/>
  <c r="Y63" i="12"/>
  <c r="Y59" i="12"/>
  <c r="AX82" i="12"/>
  <c r="BX140" i="12"/>
  <c r="BK77" i="12"/>
  <c r="BK25" i="12"/>
  <c r="L60" i="29"/>
  <c r="K56" i="27"/>
  <c r="AJ37" i="12" s="1"/>
  <c r="K75" i="27"/>
  <c r="AJ56" i="12" s="1"/>
  <c r="K69" i="27"/>
  <c r="AJ50" i="12" s="1"/>
  <c r="K72" i="27"/>
  <c r="AJ53" i="12" s="1"/>
  <c r="K56" i="30"/>
  <c r="BW37" i="12" s="1"/>
  <c r="K69" i="30"/>
  <c r="BW50" i="12" s="1"/>
  <c r="K72" i="30"/>
  <c r="BW53" i="12" s="1"/>
  <c r="K75" i="30"/>
  <c r="BW56" i="12" s="1"/>
  <c r="K75" i="29"/>
  <c r="BJ56" i="12" s="1"/>
  <c r="K69" i="29"/>
  <c r="BJ50" i="12" s="1"/>
  <c r="K72" i="29"/>
  <c r="BJ53" i="12" s="1"/>
  <c r="K56" i="29"/>
  <c r="BJ37" i="12" s="1"/>
  <c r="AX25" i="12"/>
  <c r="L61" i="28"/>
  <c r="AI113" i="12"/>
  <c r="BV113" i="12"/>
  <c r="Z92" i="12"/>
  <c r="Z95" i="12"/>
  <c r="Z104" i="12"/>
  <c r="Z116" i="12"/>
  <c r="Z122" i="12"/>
  <c r="Z124" i="12"/>
  <c r="Z67" i="12"/>
  <c r="Z91" i="12"/>
  <c r="Z121" i="12"/>
  <c r="Z147" i="12"/>
  <c r="CB67" i="12"/>
  <c r="CB69" i="12"/>
  <c r="CB70" i="12"/>
  <c r="CB96" i="12"/>
  <c r="CB116" i="12"/>
  <c r="CB124" i="12"/>
  <c r="CB127" i="12"/>
  <c r="CB145" i="12"/>
  <c r="CB68" i="12"/>
  <c r="CB95" i="12"/>
  <c r="CB101" i="12"/>
  <c r="CB146" i="12"/>
  <c r="AM69" i="12"/>
  <c r="AM70" i="12"/>
  <c r="AM90" i="12"/>
  <c r="AM92" i="12"/>
  <c r="AM97" i="12"/>
  <c r="AM99" i="12"/>
  <c r="AM101" i="12"/>
  <c r="AM116" i="12"/>
  <c r="AM127" i="12"/>
  <c r="AM93" i="12"/>
  <c r="AM117" i="12"/>
  <c r="AM126" i="12"/>
  <c r="AM147" i="12"/>
  <c r="AM96" i="12"/>
  <c r="AM122" i="12"/>
  <c r="AM68" i="12"/>
  <c r="AZ69" i="12"/>
  <c r="AZ90" i="12"/>
  <c r="AZ104" i="12"/>
  <c r="AZ99" i="12"/>
  <c r="AZ147" i="12"/>
  <c r="AZ117" i="12"/>
  <c r="AZ124" i="12"/>
  <c r="AZ145" i="12"/>
  <c r="BN68" i="12"/>
  <c r="BN92" i="12"/>
  <c r="BN104" i="12"/>
  <c r="BN99" i="12"/>
  <c r="BN116" i="12"/>
  <c r="N184" i="32"/>
  <c r="N184" i="28"/>
  <c r="N184" i="30"/>
  <c r="N78" i="30" s="1"/>
  <c r="N184" i="27"/>
  <c r="AM33" i="12" s="1"/>
  <c r="N184" i="29"/>
  <c r="N184" i="26"/>
  <c r="CA125" i="12"/>
  <c r="D99" i="21"/>
  <c r="D117" i="21"/>
  <c r="O19" i="29"/>
  <c r="L34" i="27"/>
  <c r="N17" i="26"/>
  <c r="N23" i="26" s="1"/>
  <c r="N83" i="26" s="1"/>
  <c r="P209" i="28"/>
  <c r="P211" i="28"/>
  <c r="P217" i="28"/>
  <c r="P216" i="28"/>
  <c r="P215" i="28"/>
  <c r="P212" i="28"/>
  <c r="P210" i="28"/>
  <c r="P46" i="28" s="1"/>
  <c r="P213" i="28"/>
  <c r="P214" i="28"/>
  <c r="P209" i="27"/>
  <c r="P43" i="27" s="1"/>
  <c r="P210" i="27"/>
  <c r="P46" i="27" s="1"/>
  <c r="P211" i="27"/>
  <c r="P216" i="27"/>
  <c r="P217" i="27"/>
  <c r="P214" i="27"/>
  <c r="P213" i="27"/>
  <c r="P212" i="27"/>
  <c r="P215" i="27"/>
  <c r="P213" i="29"/>
  <c r="P211" i="29"/>
  <c r="P215" i="29"/>
  <c r="P216" i="29"/>
  <c r="P210" i="29"/>
  <c r="P46" i="29" s="1"/>
  <c r="P212" i="29"/>
  <c r="P214" i="29"/>
  <c r="P209" i="29"/>
  <c r="P217" i="29"/>
  <c r="O218" i="29"/>
  <c r="P218" i="30"/>
  <c r="P209" i="32"/>
  <c r="P214" i="32"/>
  <c r="P216" i="32"/>
  <c r="P213" i="32"/>
  <c r="P211" i="32"/>
  <c r="P212" i="32"/>
  <c r="P215" i="32"/>
  <c r="P217" i="32"/>
  <c r="P210" i="32"/>
  <c r="O218" i="28"/>
  <c r="O218" i="27"/>
  <c r="AY7" i="12"/>
  <c r="H176" i="32"/>
  <c r="AG156" i="33" s="1"/>
  <c r="G70" i="21" s="1"/>
  <c r="O20" i="29"/>
  <c r="O17" i="29"/>
  <c r="N169" i="33"/>
  <c r="N171" i="33" s="1"/>
  <c r="AA171" i="33"/>
  <c r="N36" i="21"/>
  <c r="K18" i="32"/>
  <c r="K33" i="32" s="1"/>
  <c r="N20" i="26"/>
  <c r="K26" i="32"/>
  <c r="AY9" i="12"/>
  <c r="AY12" i="12"/>
  <c r="P6" i="4"/>
  <c r="O7" i="4"/>
  <c r="O8" i="4" s="1"/>
  <c r="O184" i="34" s="1"/>
  <c r="M18" i="28"/>
  <c r="M33" i="28" s="1"/>
  <c r="AY15" i="12" s="1"/>
  <c r="N20" i="28"/>
  <c r="N19" i="26"/>
  <c r="N17" i="28"/>
  <c r="Z164" i="33"/>
  <c r="M164" i="33" s="1"/>
  <c r="N34" i="30"/>
  <c r="L34" i="28"/>
  <c r="N19" i="28"/>
  <c r="P17" i="30"/>
  <c r="P23" i="30" s="1"/>
  <c r="P84" i="30" s="1"/>
  <c r="P19" i="30"/>
  <c r="P20" i="30"/>
  <c r="P181" i="27"/>
  <c r="AO165" i="12"/>
  <c r="O181" i="27"/>
  <c r="O182" i="27" s="1"/>
  <c r="AN165" i="12"/>
  <c r="BB164" i="12"/>
  <c r="P180" i="28"/>
  <c r="L218" i="32"/>
  <c r="BM12" i="12"/>
  <c r="N18" i="29"/>
  <c r="N33" i="29" s="1"/>
  <c r="BM15" i="12" s="1"/>
  <c r="BM7" i="12"/>
  <c r="BM8" i="12"/>
  <c r="P218" i="26"/>
  <c r="P185" i="32"/>
  <c r="P95" i="32" s="1"/>
  <c r="AO76" i="33" s="1"/>
  <c r="P180" i="26"/>
  <c r="AB164" i="12"/>
  <c r="AA165" i="12"/>
  <c r="O181" i="26"/>
  <c r="O182" i="26" s="1"/>
  <c r="N33" i="21"/>
  <c r="BO165" i="12"/>
  <c r="P181" i="29"/>
  <c r="P182" i="29" s="1"/>
  <c r="P113" i="29" s="1"/>
  <c r="Q168" i="15"/>
  <c r="Q171" i="15" s="1"/>
  <c r="L17" i="32"/>
  <c r="L20" i="32"/>
  <c r="L19" i="32"/>
  <c r="N17" i="27"/>
  <c r="N19" i="27"/>
  <c r="N20" i="27"/>
  <c r="BA165" i="12"/>
  <c r="O181" i="28"/>
  <c r="O182" i="28" s="1"/>
  <c r="O113" i="28" s="1"/>
  <c r="Q290" i="15"/>
  <c r="Q418" i="15" s="1"/>
  <c r="Q279" i="15"/>
  <c r="Q407" i="15" s="1"/>
  <c r="Q275" i="15"/>
  <c r="Q403" i="15" s="1"/>
  <c r="Q283" i="15"/>
  <c r="Q411" i="15" s="1"/>
  <c r="Q292" i="15"/>
  <c r="Q420" i="15" s="1"/>
  <c r="AL8" i="12"/>
  <c r="AL12" i="12"/>
  <c r="M18" i="27"/>
  <c r="M33" i="27" s="1"/>
  <c r="AL15" i="12" s="1"/>
  <c r="AL7" i="12"/>
  <c r="AL9" i="12"/>
  <c r="Y12" i="12"/>
  <c r="M18" i="26"/>
  <c r="M33" i="26" s="1"/>
  <c r="Y15" i="12" s="1"/>
  <c r="Y7" i="12"/>
  <c r="M26" i="26"/>
  <c r="Y8" i="12" s="1"/>
  <c r="L34" i="26"/>
  <c r="AO164" i="12"/>
  <c r="P180" i="27"/>
  <c r="M181" i="32"/>
  <c r="M182" i="32" s="1"/>
  <c r="M113" i="32" s="1"/>
  <c r="AL93" i="33" s="1"/>
  <c r="Y165" i="33"/>
  <c r="O37" i="21"/>
  <c r="P34" i="4"/>
  <c r="O17" i="21"/>
  <c r="P12" i="4"/>
  <c r="N35" i="21"/>
  <c r="BZ6" i="12"/>
  <c r="M34" i="29"/>
  <c r="CA8" i="12"/>
  <c r="CA9" i="12"/>
  <c r="CA12" i="12"/>
  <c r="O18" i="30"/>
  <c r="O33" i="30" s="1"/>
  <c r="CA15" i="12" s="1"/>
  <c r="CA7" i="12"/>
  <c r="N26" i="28" l="1"/>
  <c r="N23" i="28"/>
  <c r="O136" i="27"/>
  <c r="O42" i="27"/>
  <c r="O44" i="27" s="1"/>
  <c r="O48" i="27"/>
  <c r="O50" i="27" s="1"/>
  <c r="O137" i="27"/>
  <c r="O45" i="27"/>
  <c r="O47" i="27" s="1"/>
  <c r="O113" i="27"/>
  <c r="N26" i="27"/>
  <c r="N29" i="27" s="1"/>
  <c r="N23" i="27"/>
  <c r="N83" i="27" s="1"/>
  <c r="O45" i="26"/>
  <c r="O47" i="26" s="1"/>
  <c r="O42" i="26"/>
  <c r="O44" i="26" s="1"/>
  <c r="O48" i="26"/>
  <c r="O50" i="26" s="1"/>
  <c r="O113" i="26"/>
  <c r="N108" i="26"/>
  <c r="I25" i="33"/>
  <c r="P46" i="32"/>
  <c r="AO27" i="33" s="1"/>
  <c r="L93" i="33"/>
  <c r="N114" i="26"/>
  <c r="O67" i="32"/>
  <c r="AN48" i="33" s="1"/>
  <c r="I37" i="33"/>
  <c r="J26" i="33"/>
  <c r="I53" i="33"/>
  <c r="I56" i="33"/>
  <c r="I43" i="33"/>
  <c r="P49" i="32"/>
  <c r="AO30" i="33" s="1"/>
  <c r="K6" i="12"/>
  <c r="L23" i="32" s="1"/>
  <c r="L83" i="32" s="1"/>
  <c r="AK64" i="33" s="1"/>
  <c r="I41" i="33"/>
  <c r="I50" i="33"/>
  <c r="O26" i="29"/>
  <c r="O23" i="29"/>
  <c r="O83" i="29" s="1"/>
  <c r="P148" i="30"/>
  <c r="CB128" i="12" s="1"/>
  <c r="P83" i="30"/>
  <c r="P35" i="32" s="1"/>
  <c r="N45" i="32"/>
  <c r="N42" i="32"/>
  <c r="N48" i="32"/>
  <c r="L47" i="32"/>
  <c r="AK26" i="33"/>
  <c r="L63" i="32"/>
  <c r="AJ41" i="33"/>
  <c r="K62" i="32"/>
  <c r="AJ43" i="33" s="1"/>
  <c r="AJ44" i="33"/>
  <c r="J44" i="33" s="1"/>
  <c r="K65" i="32"/>
  <c r="AJ46" i="33" s="1"/>
  <c r="N29" i="28"/>
  <c r="L44" i="32"/>
  <c r="AK23" i="33"/>
  <c r="L60" i="32"/>
  <c r="M45" i="32"/>
  <c r="M48" i="32"/>
  <c r="M42" i="32"/>
  <c r="L50" i="32"/>
  <c r="L66" i="32"/>
  <c r="AK29" i="33"/>
  <c r="AJ25" i="33"/>
  <c r="J25" i="33" s="1"/>
  <c r="K69" i="32"/>
  <c r="AJ50" i="33" s="1"/>
  <c r="K72" i="32"/>
  <c r="AJ53" i="33" s="1"/>
  <c r="K56" i="32"/>
  <c r="AJ37" i="33" s="1"/>
  <c r="K75" i="32"/>
  <c r="AJ56" i="33" s="1"/>
  <c r="AJ28" i="33"/>
  <c r="K73" i="32"/>
  <c r="AJ54" i="33" s="1"/>
  <c r="K76" i="32"/>
  <c r="AJ57" i="33" s="1"/>
  <c r="K57" i="32"/>
  <c r="AJ38" i="33" s="1"/>
  <c r="K70" i="32"/>
  <c r="AJ51" i="33" s="1"/>
  <c r="AJ31" i="33"/>
  <c r="K71" i="32"/>
  <c r="AJ52" i="33" s="1"/>
  <c r="K77" i="32"/>
  <c r="AJ58" i="33" s="1"/>
  <c r="K58" i="32"/>
  <c r="AJ39" i="33" s="1"/>
  <c r="K74" i="32"/>
  <c r="AJ55" i="33" s="1"/>
  <c r="K55" i="32"/>
  <c r="AJ36" i="33" s="1"/>
  <c r="AI49" i="33"/>
  <c r="J81" i="32"/>
  <c r="AI62" i="33" s="1"/>
  <c r="AJ47" i="33"/>
  <c r="K68" i="32"/>
  <c r="O42" i="28"/>
  <c r="O44" i="28" s="1"/>
  <c r="O48" i="28"/>
  <c r="O50" i="28" s="1"/>
  <c r="O136" i="28"/>
  <c r="O45" i="28"/>
  <c r="O47" i="28" s="1"/>
  <c r="O137" i="28"/>
  <c r="BA117" i="12" s="1"/>
  <c r="K5" i="12"/>
  <c r="X5" i="33" s="1"/>
  <c r="N84" i="29"/>
  <c r="BM65" i="12" s="1"/>
  <c r="N24" i="29"/>
  <c r="BM6" i="12" s="1"/>
  <c r="M84" i="28"/>
  <c r="M24" i="28"/>
  <c r="AY6" i="12" s="1"/>
  <c r="M84" i="26"/>
  <c r="Y65" i="12" s="1"/>
  <c r="M24" i="26"/>
  <c r="M84" i="27"/>
  <c r="AL65" i="12" s="1"/>
  <c r="M24" i="27"/>
  <c r="AL6" i="12" s="1"/>
  <c r="CA65" i="12"/>
  <c r="O24" i="30"/>
  <c r="P45" i="29"/>
  <c r="P47" i="29" s="1"/>
  <c r="P48" i="29"/>
  <c r="P50" i="29" s="1"/>
  <c r="P42" i="29"/>
  <c r="P44" i="29" s="1"/>
  <c r="M55" i="28"/>
  <c r="M55" i="26"/>
  <c r="Y5" i="12"/>
  <c r="O136" i="26"/>
  <c r="AA116" i="12" s="1"/>
  <c r="O137" i="26"/>
  <c r="AA117" i="12" s="1"/>
  <c r="N138" i="26"/>
  <c r="Z118" i="12" s="1"/>
  <c r="P136" i="29"/>
  <c r="BO116" i="12" s="1"/>
  <c r="P137" i="29"/>
  <c r="BO117" i="12" s="1"/>
  <c r="E108" i="21"/>
  <c r="G48" i="21"/>
  <c r="G56" i="21"/>
  <c r="G47" i="21" s="1"/>
  <c r="O108" i="29"/>
  <c r="AM115" i="12"/>
  <c r="Z26" i="12"/>
  <c r="CG159" i="12"/>
  <c r="CG162" i="12" s="1"/>
  <c r="F85" i="21"/>
  <c r="E115" i="21"/>
  <c r="E97" i="21"/>
  <c r="D102" i="21"/>
  <c r="D120" i="21"/>
  <c r="D116" i="21"/>
  <c r="D78" i="21"/>
  <c r="G49" i="12"/>
  <c r="T49" i="33" s="1"/>
  <c r="G49" i="33" s="1"/>
  <c r="P85" i="29"/>
  <c r="O145" i="29"/>
  <c r="BN125" i="12" s="1"/>
  <c r="O29" i="29"/>
  <c r="N118" i="28"/>
  <c r="AZ98" i="12" s="1"/>
  <c r="N173" i="28"/>
  <c r="O51" i="28"/>
  <c r="O82" i="28"/>
  <c r="N108" i="28"/>
  <c r="J7" i="33"/>
  <c r="N145" i="27"/>
  <c r="N101" i="26"/>
  <c r="N133" i="26"/>
  <c r="L90" i="12"/>
  <c r="Y90" i="33" s="1"/>
  <c r="O125" i="26"/>
  <c r="N160" i="26"/>
  <c r="N118" i="26"/>
  <c r="Y76" i="12"/>
  <c r="AL5" i="12"/>
  <c r="D157" i="33"/>
  <c r="D162" i="33" s="1"/>
  <c r="L25" i="32"/>
  <c r="AK7" i="33" s="1"/>
  <c r="L30" i="32"/>
  <c r="AK12" i="33" s="1"/>
  <c r="K12" i="33" s="1"/>
  <c r="L27" i="32"/>
  <c r="AK9" i="33" s="1"/>
  <c r="K9" i="33" s="1"/>
  <c r="P25" i="30"/>
  <c r="P26" i="30"/>
  <c r="P30" i="30"/>
  <c r="P27" i="30"/>
  <c r="CB9" i="12" s="1"/>
  <c r="P108" i="30"/>
  <c r="O29" i="30"/>
  <c r="N101" i="28"/>
  <c r="N92" i="28"/>
  <c r="O118" i="29"/>
  <c r="BN98" i="12" s="1"/>
  <c r="N55" i="29"/>
  <c r="Q146" i="15"/>
  <c r="Q152" i="15"/>
  <c r="O126" i="29"/>
  <c r="BM5" i="12"/>
  <c r="I6" i="33"/>
  <c r="N126" i="27"/>
  <c r="M55" i="27"/>
  <c r="N164" i="27"/>
  <c r="AH49" i="12"/>
  <c r="I81" i="27"/>
  <c r="AZ12" i="12"/>
  <c r="N83" i="28"/>
  <c r="AJ8" i="33"/>
  <c r="J8" i="33" s="1"/>
  <c r="K29" i="32"/>
  <c r="AJ11" i="33" s="1"/>
  <c r="BN126" i="12"/>
  <c r="N160" i="27"/>
  <c r="P114" i="30"/>
  <c r="AY76" i="12"/>
  <c r="N138" i="28"/>
  <c r="AZ118" i="12" s="1"/>
  <c r="O55" i="30"/>
  <c r="N173" i="26"/>
  <c r="O92" i="29"/>
  <c r="M112" i="32"/>
  <c r="M110" i="32"/>
  <c r="M111" i="32"/>
  <c r="AM104" i="12"/>
  <c r="Z115" i="12"/>
  <c r="L94" i="12"/>
  <c r="Y94" i="33" s="1"/>
  <c r="N110" i="32"/>
  <c r="N112" i="32"/>
  <c r="N111" i="32"/>
  <c r="N101" i="27"/>
  <c r="N133" i="27"/>
  <c r="P96" i="30"/>
  <c r="AM9" i="12"/>
  <c r="O82" i="27"/>
  <c r="O111" i="27"/>
  <c r="O110" i="27"/>
  <c r="AN90" i="12" s="1"/>
  <c r="O103" i="27"/>
  <c r="O112" i="27"/>
  <c r="AN92" i="12" s="1"/>
  <c r="O165" i="27"/>
  <c r="O116" i="27"/>
  <c r="AN96" i="12" s="1"/>
  <c r="O168" i="27"/>
  <c r="O171" i="27"/>
  <c r="O162" i="27"/>
  <c r="O164" i="27" s="1"/>
  <c r="O166" i="27"/>
  <c r="AN146" i="12" s="1"/>
  <c r="O117" i="27"/>
  <c r="O169" i="27"/>
  <c r="O172" i="27"/>
  <c r="O170" i="27"/>
  <c r="O155" i="27"/>
  <c r="O150" i="27"/>
  <c r="O158" i="27"/>
  <c r="O167" i="27"/>
  <c r="AN147" i="12" s="1"/>
  <c r="O153" i="27"/>
  <c r="O156" i="27"/>
  <c r="O151" i="27"/>
  <c r="O159" i="27"/>
  <c r="O154" i="27"/>
  <c r="O149" i="27"/>
  <c r="O157" i="27"/>
  <c r="O135" i="27"/>
  <c r="AN115" i="12" s="1"/>
  <c r="O143" i="27"/>
  <c r="O141" i="27"/>
  <c r="AN121" i="12" s="1"/>
  <c r="O146" i="27"/>
  <c r="AN126" i="12" s="1"/>
  <c r="O115" i="27"/>
  <c r="AN95" i="12" s="1"/>
  <c r="O144" i="27"/>
  <c r="O139" i="27"/>
  <c r="O134" i="27"/>
  <c r="O142" i="27"/>
  <c r="AN122" i="12" s="1"/>
  <c r="O147" i="27"/>
  <c r="O152" i="27"/>
  <c r="O140" i="27"/>
  <c r="O127" i="27"/>
  <c r="O130" i="27"/>
  <c r="O128" i="27"/>
  <c r="O131" i="27"/>
  <c r="O129" i="27"/>
  <c r="O132" i="27"/>
  <c r="O97" i="27"/>
  <c r="O104" i="27"/>
  <c r="O124" i="27"/>
  <c r="O94" i="27"/>
  <c r="O100" i="27"/>
  <c r="O107" i="27"/>
  <c r="O121" i="27"/>
  <c r="AN101" i="12" s="1"/>
  <c r="O90" i="27"/>
  <c r="O122" i="27"/>
  <c r="O98" i="27"/>
  <c r="O105" i="27"/>
  <c r="O125" i="27"/>
  <c r="O28" i="27" s="1"/>
  <c r="O119" i="27"/>
  <c r="AN99" i="12" s="1"/>
  <c r="O91" i="27"/>
  <c r="O102" i="27"/>
  <c r="O123" i="27"/>
  <c r="O93" i="27"/>
  <c r="O99" i="27"/>
  <c r="O106" i="27"/>
  <c r="O109" i="27"/>
  <c r="O120" i="27"/>
  <c r="O88" i="27"/>
  <c r="O78" i="27"/>
  <c r="O85" i="27"/>
  <c r="O86" i="27"/>
  <c r="AN67" i="12" s="1"/>
  <c r="O53" i="27"/>
  <c r="O89" i="27"/>
  <c r="O79" i="27"/>
  <c r="O51" i="27"/>
  <c r="O87" i="27"/>
  <c r="AN68" i="12" s="1"/>
  <c r="O54" i="27"/>
  <c r="O80" i="27"/>
  <c r="O52" i="27"/>
  <c r="AY5" i="12"/>
  <c r="N26" i="26"/>
  <c r="Z8" i="12" s="1"/>
  <c r="AZ96" i="12"/>
  <c r="M96" i="12" s="1"/>
  <c r="Z96" i="33" s="1"/>
  <c r="M96" i="33" s="1"/>
  <c r="N92" i="27"/>
  <c r="N148" i="27"/>
  <c r="AM128" i="12" s="1"/>
  <c r="P160" i="30"/>
  <c r="N55" i="28"/>
  <c r="N133" i="28"/>
  <c r="O96" i="29"/>
  <c r="O101" i="29"/>
  <c r="O138" i="29"/>
  <c r="BN118" i="12" s="1"/>
  <c r="O160" i="29"/>
  <c r="N95" i="26"/>
  <c r="Z76" i="12" s="1"/>
  <c r="N145" i="26"/>
  <c r="Z125" i="12" s="1"/>
  <c r="N148" i="26"/>
  <c r="Z128" i="12" s="1"/>
  <c r="BN76" i="12"/>
  <c r="P92" i="30"/>
  <c r="P101" i="30"/>
  <c r="P126" i="30"/>
  <c r="P138" i="30"/>
  <c r="CB118" i="12" s="1"/>
  <c r="P173" i="30"/>
  <c r="P118" i="30"/>
  <c r="N126" i="28"/>
  <c r="N126" i="26"/>
  <c r="O103" i="26"/>
  <c r="O112" i="26"/>
  <c r="AA92" i="12" s="1"/>
  <c r="O110" i="26"/>
  <c r="AA90" i="12" s="1"/>
  <c r="O111" i="26"/>
  <c r="O82" i="26"/>
  <c r="O171" i="26"/>
  <c r="O117" i="26"/>
  <c r="AA97" i="12" s="1"/>
  <c r="O166" i="26"/>
  <c r="O169" i="26"/>
  <c r="O115" i="26"/>
  <c r="O172" i="26"/>
  <c r="O167" i="26"/>
  <c r="O170" i="26"/>
  <c r="O168" i="26"/>
  <c r="O165" i="26"/>
  <c r="AA145" i="12" s="1"/>
  <c r="O153" i="26"/>
  <c r="O162" i="26"/>
  <c r="O164" i="26" s="1"/>
  <c r="O116" i="26"/>
  <c r="O157" i="26"/>
  <c r="O149" i="26"/>
  <c r="O155" i="26"/>
  <c r="O158" i="26"/>
  <c r="O156" i="26"/>
  <c r="O150" i="26"/>
  <c r="O154" i="26"/>
  <c r="O142" i="26"/>
  <c r="O146" i="26"/>
  <c r="AA126" i="12" s="1"/>
  <c r="O151" i="26"/>
  <c r="O152" i="26"/>
  <c r="O134" i="26"/>
  <c r="O159" i="26"/>
  <c r="O143" i="26"/>
  <c r="O147" i="26"/>
  <c r="O135" i="26"/>
  <c r="O141" i="26"/>
  <c r="O144" i="26"/>
  <c r="AA124" i="12" s="1"/>
  <c r="O129" i="26"/>
  <c r="O132" i="26"/>
  <c r="O127" i="26"/>
  <c r="O131" i="26"/>
  <c r="O130" i="26"/>
  <c r="O128" i="26"/>
  <c r="O124" i="26"/>
  <c r="O121" i="26"/>
  <c r="O122" i="26"/>
  <c r="O119" i="26"/>
  <c r="AA99" i="12" s="1"/>
  <c r="O123" i="26"/>
  <c r="O120" i="26"/>
  <c r="O93" i="26"/>
  <c r="O91" i="26"/>
  <c r="O104" i="26"/>
  <c r="O109" i="26"/>
  <c r="O87" i="26"/>
  <c r="AA68" i="12" s="1"/>
  <c r="O107" i="26"/>
  <c r="O53" i="26"/>
  <c r="O85" i="26"/>
  <c r="O90" i="26"/>
  <c r="O97" i="26"/>
  <c r="O105" i="26"/>
  <c r="O88" i="26"/>
  <c r="AA69" i="12" s="1"/>
  <c r="O94" i="26"/>
  <c r="O54" i="26"/>
  <c r="O99" i="26"/>
  <c r="O102" i="26"/>
  <c r="O86" i="26"/>
  <c r="AA67" i="12" s="1"/>
  <c r="O106" i="26"/>
  <c r="O89" i="26"/>
  <c r="O52" i="26"/>
  <c r="O98" i="26"/>
  <c r="O100" i="26"/>
  <c r="O79" i="26"/>
  <c r="O78" i="26"/>
  <c r="O80" i="26"/>
  <c r="O140" i="26"/>
  <c r="O139" i="26"/>
  <c r="O51" i="26"/>
  <c r="BN71" i="12"/>
  <c r="AM123" i="12"/>
  <c r="M123" i="12" s="1"/>
  <c r="Z123" i="33" s="1"/>
  <c r="AZ76" i="12"/>
  <c r="N145" i="28"/>
  <c r="AZ125" i="12" s="1"/>
  <c r="N164" i="28"/>
  <c r="O114" i="29"/>
  <c r="BN94" i="12" s="1"/>
  <c r="N95" i="27"/>
  <c r="N96" i="27" s="1"/>
  <c r="N108" i="27"/>
  <c r="N173" i="27"/>
  <c r="P55" i="30"/>
  <c r="P133" i="30"/>
  <c r="P145" i="30"/>
  <c r="CB125" i="12" s="1"/>
  <c r="N96" i="28"/>
  <c r="N160" i="28"/>
  <c r="N114" i="28"/>
  <c r="AZ94" i="12" s="1"/>
  <c r="CA5" i="12"/>
  <c r="N96" i="26"/>
  <c r="N92" i="26"/>
  <c r="P103" i="29"/>
  <c r="P112" i="29"/>
  <c r="BO92" i="12" s="1"/>
  <c r="P110" i="29"/>
  <c r="P82" i="29"/>
  <c r="P111" i="29"/>
  <c r="BO91" i="12" s="1"/>
  <c r="P165" i="29"/>
  <c r="BO145" i="12" s="1"/>
  <c r="P115" i="29"/>
  <c r="BO95" i="12" s="1"/>
  <c r="P168" i="29"/>
  <c r="P116" i="29"/>
  <c r="BO96" i="12" s="1"/>
  <c r="P171" i="29"/>
  <c r="P117" i="29"/>
  <c r="P166" i="29"/>
  <c r="BO146" i="12" s="1"/>
  <c r="P169" i="29"/>
  <c r="P172" i="29"/>
  <c r="P170" i="29"/>
  <c r="P153" i="29"/>
  <c r="P156" i="29"/>
  <c r="P151" i="29"/>
  <c r="P159" i="29"/>
  <c r="P154" i="29"/>
  <c r="P167" i="29"/>
  <c r="BO147" i="12" s="1"/>
  <c r="P149" i="29"/>
  <c r="P157" i="29"/>
  <c r="P152" i="29"/>
  <c r="P155" i="29"/>
  <c r="P158" i="29"/>
  <c r="P141" i="29"/>
  <c r="P134" i="29"/>
  <c r="P150" i="29"/>
  <c r="P139" i="29"/>
  <c r="P142" i="29"/>
  <c r="BO122" i="12" s="1"/>
  <c r="P135" i="29"/>
  <c r="BO115" i="12" s="1"/>
  <c r="P140" i="29"/>
  <c r="P144" i="29"/>
  <c r="BO124" i="12" s="1"/>
  <c r="P146" i="29"/>
  <c r="P128" i="29"/>
  <c r="P131" i="29"/>
  <c r="P147" i="29"/>
  <c r="BO127" i="12" s="1"/>
  <c r="P129" i="29"/>
  <c r="P132" i="29"/>
  <c r="P127" i="29"/>
  <c r="P130" i="29"/>
  <c r="P143" i="29"/>
  <c r="P119" i="29"/>
  <c r="BO99" i="12" s="1"/>
  <c r="P124" i="29"/>
  <c r="BO104" i="12" s="1"/>
  <c r="P120" i="29"/>
  <c r="P122" i="29"/>
  <c r="P125" i="29"/>
  <c r="P28" i="29" s="1"/>
  <c r="P121" i="29"/>
  <c r="BO101" i="12" s="1"/>
  <c r="P93" i="29"/>
  <c r="P99" i="29"/>
  <c r="P106" i="29"/>
  <c r="BO93" i="12"/>
  <c r="P91" i="29"/>
  <c r="P109" i="29"/>
  <c r="P97" i="29"/>
  <c r="P104" i="29"/>
  <c r="P94" i="29"/>
  <c r="P100" i="29"/>
  <c r="P107" i="29"/>
  <c r="P123" i="29"/>
  <c r="P98" i="29"/>
  <c r="P105" i="29"/>
  <c r="P90" i="29"/>
  <c r="BO71" i="12" s="1"/>
  <c r="P86" i="29"/>
  <c r="BO67" i="12" s="1"/>
  <c r="P53" i="29"/>
  <c r="P102" i="29"/>
  <c r="P78" i="29"/>
  <c r="P89" i="29"/>
  <c r="BO70" i="12" s="1"/>
  <c r="P51" i="29"/>
  <c r="P87" i="29"/>
  <c r="P54" i="29"/>
  <c r="P79" i="29"/>
  <c r="P52" i="29"/>
  <c r="P88" i="29"/>
  <c r="BO69" i="12" s="1"/>
  <c r="P80" i="29"/>
  <c r="O117" i="28"/>
  <c r="BA97" i="12" s="1"/>
  <c r="O103" i="28"/>
  <c r="O112" i="28"/>
  <c r="BA92" i="12" s="1"/>
  <c r="O110" i="28"/>
  <c r="BA90" i="12" s="1"/>
  <c r="O141" i="28"/>
  <c r="BA121" i="12" s="1"/>
  <c r="O111" i="28"/>
  <c r="O172" i="28"/>
  <c r="O115" i="28"/>
  <c r="O167" i="28"/>
  <c r="BA147" i="12" s="1"/>
  <c r="O162" i="28"/>
  <c r="O164" i="28" s="1"/>
  <c r="O116" i="28"/>
  <c r="BA96" i="12" s="1"/>
  <c r="O170" i="28"/>
  <c r="O165" i="28"/>
  <c r="BA145" i="12" s="1"/>
  <c r="O168" i="28"/>
  <c r="O171" i="28"/>
  <c r="O169" i="28"/>
  <c r="O149" i="28"/>
  <c r="O157" i="28"/>
  <c r="O166" i="28"/>
  <c r="BA146" i="12" s="1"/>
  <c r="O152" i="28"/>
  <c r="O155" i="28"/>
  <c r="O150" i="28"/>
  <c r="O158" i="28"/>
  <c r="O153" i="28"/>
  <c r="O156" i="28"/>
  <c r="O151" i="28"/>
  <c r="O159" i="28"/>
  <c r="O154" i="28"/>
  <c r="O134" i="28"/>
  <c r="O144" i="28"/>
  <c r="BA124" i="12" s="1"/>
  <c r="O146" i="28"/>
  <c r="O142" i="28"/>
  <c r="O135" i="28"/>
  <c r="BA115" i="12" s="1"/>
  <c r="O147" i="28"/>
  <c r="BA127" i="12" s="1"/>
  <c r="O143" i="28"/>
  <c r="BA123" i="12" s="1"/>
  <c r="O129" i="28"/>
  <c r="O132" i="28"/>
  <c r="O127" i="28"/>
  <c r="O130" i="28"/>
  <c r="O128" i="28"/>
  <c r="O131" i="28"/>
  <c r="O125" i="28"/>
  <c r="O28" i="28" s="1"/>
  <c r="O119" i="28"/>
  <c r="BA99" i="12" s="1"/>
  <c r="O90" i="28"/>
  <c r="BA71" i="12" s="1"/>
  <c r="O123" i="28"/>
  <c r="O120" i="28"/>
  <c r="O91" i="28"/>
  <c r="O124" i="28"/>
  <c r="O94" i="28"/>
  <c r="O98" i="28"/>
  <c r="O102" i="28"/>
  <c r="O106" i="28"/>
  <c r="BA93" i="12"/>
  <c r="O99" i="28"/>
  <c r="O104" i="28"/>
  <c r="O121" i="28"/>
  <c r="O93" i="28"/>
  <c r="O107" i="28"/>
  <c r="O109" i="28"/>
  <c r="O97" i="28"/>
  <c r="O122" i="28"/>
  <c r="O105" i="28"/>
  <c r="O85" i="28"/>
  <c r="O88" i="28"/>
  <c r="O54" i="28"/>
  <c r="O86" i="28"/>
  <c r="BA67" i="12" s="1"/>
  <c r="O52" i="28"/>
  <c r="O89" i="28"/>
  <c r="BA70" i="12" s="1"/>
  <c r="O53" i="28"/>
  <c r="O87" i="28"/>
  <c r="BA68" i="12" s="1"/>
  <c r="O78" i="28"/>
  <c r="O100" i="28"/>
  <c r="O79" i="28"/>
  <c r="O80" i="28"/>
  <c r="O139" i="28"/>
  <c r="O140" i="28"/>
  <c r="BN95" i="12"/>
  <c r="CB76" i="12"/>
  <c r="N55" i="27"/>
  <c r="N118" i="27"/>
  <c r="N114" i="27"/>
  <c r="AM94" i="12" s="1"/>
  <c r="N148" i="28"/>
  <c r="AZ128" i="12" s="1"/>
  <c r="O133" i="29"/>
  <c r="O173" i="29"/>
  <c r="N164" i="26"/>
  <c r="AU55" i="12"/>
  <c r="H55" i="12" s="1"/>
  <c r="U55" i="33" s="1"/>
  <c r="H55" i="33" s="1"/>
  <c r="I81" i="28"/>
  <c r="BH49" i="12"/>
  <c r="I81" i="29"/>
  <c r="BU49" i="12"/>
  <c r="I81" i="30"/>
  <c r="I65" i="33"/>
  <c r="CK49" i="12"/>
  <c r="L81" i="34"/>
  <c r="W37" i="12"/>
  <c r="J37" i="12" s="1"/>
  <c r="W37" i="33" s="1"/>
  <c r="U38" i="12"/>
  <c r="I81" i="26"/>
  <c r="CL11" i="12"/>
  <c r="D119" i="21"/>
  <c r="BE159" i="12"/>
  <c r="BE162" i="12" s="1"/>
  <c r="K24" i="32"/>
  <c r="AJ6" i="33" s="1"/>
  <c r="AJ5" i="33"/>
  <c r="J5" i="33" s="1"/>
  <c r="K84" i="32"/>
  <c r="AJ65" i="33" s="1"/>
  <c r="AN106" i="33"/>
  <c r="AN10" i="33"/>
  <c r="D162" i="12"/>
  <c r="H52" i="12"/>
  <c r="U52" i="33" s="1"/>
  <c r="H52" i="33" s="1"/>
  <c r="J16" i="12"/>
  <c r="L118" i="12"/>
  <c r="Y118" i="33" s="1"/>
  <c r="L89" i="12"/>
  <c r="CM10" i="12"/>
  <c r="M122" i="12"/>
  <c r="Z122" i="33" s="1"/>
  <c r="L15" i="12"/>
  <c r="Y15" i="33" s="1"/>
  <c r="H58" i="12"/>
  <c r="U58" i="33" s="1"/>
  <c r="H58" i="33" s="1"/>
  <c r="L8" i="12"/>
  <c r="Y8" i="33" s="1"/>
  <c r="M99" i="12"/>
  <c r="M68" i="12"/>
  <c r="Z68" i="33" s="1"/>
  <c r="M68" i="33" s="1"/>
  <c r="L12" i="12"/>
  <c r="Y12" i="33" s="1"/>
  <c r="CL36" i="12"/>
  <c r="BT157" i="12"/>
  <c r="G93" i="21" s="1"/>
  <c r="G111" i="21" s="1"/>
  <c r="L75" i="12"/>
  <c r="Y75" i="33" s="1"/>
  <c r="L75" i="33" s="1"/>
  <c r="L34" i="12"/>
  <c r="Y34" i="33" s="1"/>
  <c r="L34" i="33" s="1"/>
  <c r="L132" i="12"/>
  <c r="Y132" i="33" s="1"/>
  <c r="L132" i="33" s="1"/>
  <c r="L78" i="12"/>
  <c r="Y78" i="33" s="1"/>
  <c r="L78" i="33" s="1"/>
  <c r="I28" i="12"/>
  <c r="V28" i="33" s="1"/>
  <c r="I28" i="33" s="1"/>
  <c r="R156" i="33"/>
  <c r="E156" i="33" s="1"/>
  <c r="L120" i="12"/>
  <c r="L152" i="12"/>
  <c r="Y152" i="33" s="1"/>
  <c r="L152" i="33" s="1"/>
  <c r="L66" i="12"/>
  <c r="Y66" i="33" s="1"/>
  <c r="L66" i="33" s="1"/>
  <c r="L85" i="12"/>
  <c r="K23" i="12"/>
  <c r="X23" i="33" s="1"/>
  <c r="K141" i="12"/>
  <c r="X141" i="33" s="1"/>
  <c r="K141" i="33" s="1"/>
  <c r="L79" i="12"/>
  <c r="Y79" i="33" s="1"/>
  <c r="L79" i="33" s="1"/>
  <c r="L148" i="12"/>
  <c r="Y148" i="33" s="1"/>
  <c r="L148" i="33" s="1"/>
  <c r="I10" i="12"/>
  <c r="L63" i="12"/>
  <c r="L139" i="12"/>
  <c r="Y139" i="33" s="1"/>
  <c r="L139" i="33" s="1"/>
  <c r="L61" i="12"/>
  <c r="Y61" i="33" s="1"/>
  <c r="L61" i="33" s="1"/>
  <c r="BR159" i="12"/>
  <c r="BR162" i="12" s="1"/>
  <c r="E84" i="21" s="1"/>
  <c r="CN105" i="12"/>
  <c r="CN10" i="12"/>
  <c r="K105" i="12"/>
  <c r="X105" i="33" s="1"/>
  <c r="K105" i="33" s="1"/>
  <c r="CM66" i="12"/>
  <c r="CM73" i="12"/>
  <c r="CM32" i="12"/>
  <c r="N59" i="34"/>
  <c r="CM40" i="12" s="1"/>
  <c r="CM35" i="12"/>
  <c r="CL28" i="12"/>
  <c r="M70" i="34"/>
  <c r="CL51" i="12" s="1"/>
  <c r="M73" i="34"/>
  <c r="CL54" i="12" s="1"/>
  <c r="M57" i="34"/>
  <c r="CL38" i="12" s="1"/>
  <c r="M76" i="34"/>
  <c r="CL57" i="12" s="1"/>
  <c r="CM27" i="12"/>
  <c r="N64" i="34"/>
  <c r="CM45" i="12" s="1"/>
  <c r="CM102" i="12"/>
  <c r="CM106" i="12"/>
  <c r="CM24" i="12"/>
  <c r="N61" i="34"/>
  <c r="CM42" i="12" s="1"/>
  <c r="CM129" i="12"/>
  <c r="CM140" i="12"/>
  <c r="CL44" i="12"/>
  <c r="M65" i="34"/>
  <c r="CL46" i="12" s="1"/>
  <c r="M68" i="34"/>
  <c r="CL47" i="12"/>
  <c r="J39" i="28"/>
  <c r="AV21" i="12" s="1"/>
  <c r="CM23" i="12"/>
  <c r="N60" i="34"/>
  <c r="CL31" i="12"/>
  <c r="M77" i="34"/>
  <c r="CL58" i="12" s="1"/>
  <c r="M58" i="34"/>
  <c r="CL39" i="12" s="1"/>
  <c r="M74" i="34"/>
  <c r="CL55" i="12" s="1"/>
  <c r="M71" i="34"/>
  <c r="CL52" i="12" s="1"/>
  <c r="I102" i="12"/>
  <c r="V102" i="33" s="1"/>
  <c r="I102" i="33" s="1"/>
  <c r="CM29" i="12"/>
  <c r="N66" i="34"/>
  <c r="CM141" i="12"/>
  <c r="CM144" i="12"/>
  <c r="CN87" i="12"/>
  <c r="CN85" i="12"/>
  <c r="CN72" i="12"/>
  <c r="CN63" i="12"/>
  <c r="CN89" i="12"/>
  <c r="CN103" i="12"/>
  <c r="CN83" i="12"/>
  <c r="CN100" i="12"/>
  <c r="CN79" i="12"/>
  <c r="CN114" i="12"/>
  <c r="CN84" i="12"/>
  <c r="CN34" i="12"/>
  <c r="CN150" i="12"/>
  <c r="CN130" i="12"/>
  <c r="CN139" i="12"/>
  <c r="CN151" i="12"/>
  <c r="CN135" i="12"/>
  <c r="CN142" i="12"/>
  <c r="CN138" i="12"/>
  <c r="CN149" i="12"/>
  <c r="CN133" i="12"/>
  <c r="CN131" i="12"/>
  <c r="CN136" i="12"/>
  <c r="CN134" i="12"/>
  <c r="CN143" i="12"/>
  <c r="CN152" i="12"/>
  <c r="CN132" i="12"/>
  <c r="CN137" i="12"/>
  <c r="CN80" i="12"/>
  <c r="CN81" i="12"/>
  <c r="CN33" i="12"/>
  <c r="CN60" i="12"/>
  <c r="CN59" i="12"/>
  <c r="CN61" i="12"/>
  <c r="CN119" i="12"/>
  <c r="CN120" i="12"/>
  <c r="CN75" i="12"/>
  <c r="CM148" i="12"/>
  <c r="CM153" i="12"/>
  <c r="CM74" i="12"/>
  <c r="CM77" i="12"/>
  <c r="CM30" i="12"/>
  <c r="N67" i="34"/>
  <c r="CM48" i="12" s="1"/>
  <c r="CM26" i="12"/>
  <c r="N63" i="34"/>
  <c r="M62" i="34"/>
  <c r="CL43" i="12" s="1"/>
  <c r="CL41" i="12"/>
  <c r="L23" i="12"/>
  <c r="Y23" i="33" s="1"/>
  <c r="K44" i="12"/>
  <c r="X44" i="33" s="1"/>
  <c r="CK37" i="12"/>
  <c r="CK62" i="12"/>
  <c r="CM82" i="12"/>
  <c r="CM78" i="12"/>
  <c r="CM88" i="12"/>
  <c r="CM86" i="12"/>
  <c r="CK11" i="12"/>
  <c r="L39" i="34"/>
  <c r="CK21" i="12" s="1"/>
  <c r="K57" i="21" s="1"/>
  <c r="CL25" i="12"/>
  <c r="M75" i="34"/>
  <c r="CL56" i="12" s="1"/>
  <c r="M72" i="34"/>
  <c r="CL53" i="12" s="1"/>
  <c r="M56" i="34"/>
  <c r="M69" i="34"/>
  <c r="CL50" i="12" s="1"/>
  <c r="M69" i="12"/>
  <c r="Z69" i="33" s="1"/>
  <c r="M69" i="33" s="1"/>
  <c r="M67" i="12"/>
  <c r="Z67" i="33" s="1"/>
  <c r="M95" i="12"/>
  <c r="Z95" i="33" s="1"/>
  <c r="M95" i="33" s="1"/>
  <c r="L103" i="12"/>
  <c r="Y103" i="33" s="1"/>
  <c r="L103" i="33" s="1"/>
  <c r="L134" i="12"/>
  <c r="Y134" i="33" s="1"/>
  <c r="L134" i="33" s="1"/>
  <c r="L129" i="12"/>
  <c r="Y129" i="33" s="1"/>
  <c r="L129" i="33" s="1"/>
  <c r="H51" i="12"/>
  <c r="U51" i="33" s="1"/>
  <c r="H51" i="33" s="1"/>
  <c r="J27" i="12"/>
  <c r="W27" i="33" s="1"/>
  <c r="J27" i="33" s="1"/>
  <c r="K40" i="12"/>
  <c r="X40" i="33" s="1"/>
  <c r="K40" i="33" s="1"/>
  <c r="F11" i="12"/>
  <c r="S11" i="33" s="1"/>
  <c r="M147" i="12"/>
  <c r="Z147" i="33" s="1"/>
  <c r="M147" i="33" s="1"/>
  <c r="M146" i="12"/>
  <c r="Z146" i="33" s="1"/>
  <c r="M92" i="12"/>
  <c r="Z92" i="33" s="1"/>
  <c r="J50" i="12"/>
  <c r="W50" i="33" s="1"/>
  <c r="L138" i="12"/>
  <c r="Y138" i="33" s="1"/>
  <c r="L138" i="33" s="1"/>
  <c r="L80" i="12"/>
  <c r="Y80" i="33" s="1"/>
  <c r="L80" i="33" s="1"/>
  <c r="L150" i="12"/>
  <c r="Y150" i="33" s="1"/>
  <c r="L150" i="33" s="1"/>
  <c r="K88" i="12"/>
  <c r="K77" i="12"/>
  <c r="J41" i="12"/>
  <c r="W41" i="33" s="1"/>
  <c r="L125" i="12"/>
  <c r="Y125" i="33" s="1"/>
  <c r="K86" i="12"/>
  <c r="X86" i="33" s="1"/>
  <c r="K86" i="33" s="1"/>
  <c r="L9" i="12"/>
  <c r="Y9" i="33" s="1"/>
  <c r="L7" i="12"/>
  <c r="M145" i="12"/>
  <c r="Z145" i="33" s="1"/>
  <c r="M121" i="12"/>
  <c r="M127" i="12"/>
  <c r="Z127" i="33" s="1"/>
  <c r="M90" i="12"/>
  <c r="Z90" i="33" s="1"/>
  <c r="L136" i="12"/>
  <c r="Y136" i="33" s="1"/>
  <c r="L136" i="33" s="1"/>
  <c r="J56" i="12"/>
  <c r="W56" i="33" s="1"/>
  <c r="L81" i="12"/>
  <c r="Y81" i="33" s="1"/>
  <c r="L81" i="33" s="1"/>
  <c r="L151" i="12"/>
  <c r="Y151" i="33" s="1"/>
  <c r="L151" i="33" s="1"/>
  <c r="L100" i="12"/>
  <c r="Y100" i="33" s="1"/>
  <c r="K140" i="12"/>
  <c r="H54" i="12"/>
  <c r="U54" i="33" s="1"/>
  <c r="H54" i="33" s="1"/>
  <c r="H45" i="12"/>
  <c r="U45" i="33" s="1"/>
  <c r="H45" i="33" s="1"/>
  <c r="F62" i="12"/>
  <c r="S62" i="33" s="1"/>
  <c r="J43" i="12"/>
  <c r="W43" i="33" s="1"/>
  <c r="K65" i="12"/>
  <c r="M116" i="12"/>
  <c r="Z116" i="33" s="1"/>
  <c r="M126" i="12"/>
  <c r="Z126" i="33" s="1"/>
  <c r="M124" i="12"/>
  <c r="Z124" i="33" s="1"/>
  <c r="M70" i="12"/>
  <c r="Z70" i="33" s="1"/>
  <c r="M70" i="33" s="1"/>
  <c r="L59" i="12"/>
  <c r="Y59" i="33" s="1"/>
  <c r="L59" i="33" s="1"/>
  <c r="J53" i="12"/>
  <c r="W53" i="33" s="1"/>
  <c r="L86" i="12"/>
  <c r="Y86" i="33" s="1"/>
  <c r="L86" i="33" s="1"/>
  <c r="L131" i="12"/>
  <c r="Y131" i="33" s="1"/>
  <c r="L131" i="33" s="1"/>
  <c r="L60" i="12"/>
  <c r="Y60" i="33" s="1"/>
  <c r="L60" i="33" s="1"/>
  <c r="H39" i="12"/>
  <c r="U39" i="33" s="1"/>
  <c r="H39" i="33" s="1"/>
  <c r="H46" i="12"/>
  <c r="U46" i="33" s="1"/>
  <c r="H46" i="33" s="1"/>
  <c r="H47" i="12"/>
  <c r="U47" i="33" s="1"/>
  <c r="H47" i="33" s="1"/>
  <c r="K144" i="12"/>
  <c r="K73" i="12"/>
  <c r="X73" i="33" s="1"/>
  <c r="L137" i="12"/>
  <c r="Y137" i="33" s="1"/>
  <c r="L137" i="33" s="1"/>
  <c r="L149" i="12"/>
  <c r="Y149" i="33" s="1"/>
  <c r="L149" i="33" s="1"/>
  <c r="L74" i="12"/>
  <c r="Y74" i="33" s="1"/>
  <c r="L74" i="33" s="1"/>
  <c r="K82" i="12"/>
  <c r="H31" i="12"/>
  <c r="U31" i="33" s="1"/>
  <c r="H31" i="33" s="1"/>
  <c r="N39" i="34"/>
  <c r="CM21" i="12" s="1"/>
  <c r="M57" i="21" s="1"/>
  <c r="CM11" i="12"/>
  <c r="H36" i="12"/>
  <c r="L33" i="12"/>
  <c r="Y33" i="33" s="1"/>
  <c r="L33" i="33" s="1"/>
  <c r="N165" i="12"/>
  <c r="M101" i="12"/>
  <c r="Z101" i="33" s="1"/>
  <c r="M101" i="33" s="1"/>
  <c r="M91" i="12"/>
  <c r="Z91" i="33" s="1"/>
  <c r="M104" i="12"/>
  <c r="Z104" i="33" s="1"/>
  <c r="M104" i="33" s="1"/>
  <c r="L84" i="12"/>
  <c r="L119" i="12"/>
  <c r="L133" i="12"/>
  <c r="Y133" i="33" s="1"/>
  <c r="L133" i="33" s="1"/>
  <c r="L83" i="12"/>
  <c r="L135" i="12"/>
  <c r="Y135" i="33" s="1"/>
  <c r="L135" i="33" s="1"/>
  <c r="L128" i="12"/>
  <c r="Y128" i="33" s="1"/>
  <c r="J29" i="12"/>
  <c r="W29" i="33" s="1"/>
  <c r="J29" i="33" s="1"/>
  <c r="K24" i="12"/>
  <c r="X24" i="33" s="1"/>
  <c r="K24" i="33" s="1"/>
  <c r="J30" i="12"/>
  <c r="W30" i="33" s="1"/>
  <c r="J30" i="33" s="1"/>
  <c r="L35" i="12"/>
  <c r="Y35" i="33" s="1"/>
  <c r="L35" i="33" s="1"/>
  <c r="K26" i="12"/>
  <c r="X26" i="33" s="1"/>
  <c r="O164" i="12"/>
  <c r="M93" i="12"/>
  <c r="Z93" i="33" s="1"/>
  <c r="M93" i="33" s="1"/>
  <c r="M71" i="12"/>
  <c r="Z71" i="33" s="1"/>
  <c r="M71" i="33" s="1"/>
  <c r="M97" i="12"/>
  <c r="Z97" i="33" s="1"/>
  <c r="M97" i="33" s="1"/>
  <c r="L130" i="12"/>
  <c r="Y130" i="33" s="1"/>
  <c r="L130" i="33" s="1"/>
  <c r="L114" i="12"/>
  <c r="K153" i="12"/>
  <c r="X153" i="33" s="1"/>
  <c r="H57" i="12"/>
  <c r="U57" i="33" s="1"/>
  <c r="H57" i="33" s="1"/>
  <c r="J48" i="12"/>
  <c r="W48" i="33" s="1"/>
  <c r="J48" i="33" s="1"/>
  <c r="L142" i="12"/>
  <c r="Y142" i="33" s="1"/>
  <c r="L142" i="33" s="1"/>
  <c r="L143" i="12"/>
  <c r="Y143" i="33" s="1"/>
  <c r="L143" i="33" s="1"/>
  <c r="F21" i="12"/>
  <c r="S21" i="33" s="1"/>
  <c r="L127" i="12"/>
  <c r="Y127" i="33" s="1"/>
  <c r="K131" i="12"/>
  <c r="X131" i="33" s="1"/>
  <c r="K131" i="33" s="1"/>
  <c r="J110" i="12"/>
  <c r="W110" i="33" s="1"/>
  <c r="J110" i="33" s="1"/>
  <c r="J111" i="12"/>
  <c r="W111" i="33" s="1"/>
  <c r="J111" i="33" s="1"/>
  <c r="F52" i="21"/>
  <c r="F50" i="21" s="1"/>
  <c r="K75" i="12"/>
  <c r="X75" i="33" s="1"/>
  <c r="K75" i="33" s="1"/>
  <c r="L122" i="12"/>
  <c r="Y122" i="33" s="1"/>
  <c r="K32" i="12"/>
  <c r="X32" i="33" s="1"/>
  <c r="K32" i="33" s="1"/>
  <c r="J109" i="12"/>
  <c r="W109" i="33" s="1"/>
  <c r="J109" i="33" s="1"/>
  <c r="J177" i="34"/>
  <c r="CI157" i="12" s="1"/>
  <c r="I94" i="21" s="1"/>
  <c r="CI156" i="12"/>
  <c r="I76" i="21" s="1"/>
  <c r="J112" i="12"/>
  <c r="W112" i="33" s="1"/>
  <c r="J112" i="33" s="1"/>
  <c r="J107" i="12"/>
  <c r="W107" i="33" s="1"/>
  <c r="J107" i="33" s="1"/>
  <c r="I177" i="34"/>
  <c r="CH157" i="12" s="1"/>
  <c r="H94" i="21" s="1"/>
  <c r="CH156" i="12"/>
  <c r="H76" i="21" s="1"/>
  <c r="I113" i="12"/>
  <c r="J64" i="12"/>
  <c r="J108" i="12"/>
  <c r="W108" i="33" s="1"/>
  <c r="J108" i="33" s="1"/>
  <c r="CK64" i="12"/>
  <c r="K176" i="34"/>
  <c r="Q69" i="14"/>
  <c r="Q74" i="14"/>
  <c r="Q67" i="14"/>
  <c r="Q442" i="14"/>
  <c r="AN70" i="12"/>
  <c r="Q68" i="14"/>
  <c r="Q75" i="14" s="1"/>
  <c r="Q70" i="14"/>
  <c r="Q73" i="14"/>
  <c r="Q72" i="14"/>
  <c r="Q151" i="14"/>
  <c r="Q152" i="14" s="1"/>
  <c r="O36" i="21"/>
  <c r="K39" i="29"/>
  <c r="BJ21" i="12" s="1"/>
  <c r="AF157" i="12"/>
  <c r="F90" i="21" s="1"/>
  <c r="F108" i="21" s="1"/>
  <c r="E50" i="21"/>
  <c r="AH11" i="12"/>
  <c r="S157" i="12"/>
  <c r="F89" i="21" s="1"/>
  <c r="F107" i="21" s="1"/>
  <c r="K39" i="30"/>
  <c r="BW21" i="12" s="1"/>
  <c r="J56" i="21" s="1"/>
  <c r="J47" i="21" s="1"/>
  <c r="L38" i="32"/>
  <c r="AK17" i="33"/>
  <c r="K17" i="33" s="1"/>
  <c r="Y99" i="33"/>
  <c r="L99" i="33" s="1"/>
  <c r="X114" i="33"/>
  <c r="K114" i="33" s="1"/>
  <c r="W88" i="33"/>
  <c r="J88" i="33" s="1"/>
  <c r="X63" i="33"/>
  <c r="K63" i="33" s="1"/>
  <c r="W77" i="33"/>
  <c r="J77" i="33" s="1"/>
  <c r="AJ128" i="33"/>
  <c r="J128" i="33" s="1"/>
  <c r="AK90" i="33"/>
  <c r="K90" i="33" s="1"/>
  <c r="AK117" i="33"/>
  <c r="K117" i="33" s="1"/>
  <c r="AK116" i="33"/>
  <c r="K116" i="33" s="1"/>
  <c r="AK110" i="33"/>
  <c r="AK145" i="33"/>
  <c r="K145" i="33" s="1"/>
  <c r="AK123" i="33"/>
  <c r="K123" i="33" s="1"/>
  <c r="AK109" i="33"/>
  <c r="AK146" i="33"/>
  <c r="K146" i="33" s="1"/>
  <c r="AK124" i="33"/>
  <c r="K124" i="33" s="1"/>
  <c r="BX11" i="12"/>
  <c r="BX10" i="12"/>
  <c r="BK11" i="12"/>
  <c r="BK10" i="12"/>
  <c r="AU11" i="12"/>
  <c r="AU10" i="12"/>
  <c r="H10" i="12" s="1"/>
  <c r="W144" i="33"/>
  <c r="J144" i="33" s="1"/>
  <c r="T113" i="33"/>
  <c r="G113" i="33" s="1"/>
  <c r="Y121" i="33"/>
  <c r="L121" i="33" s="1"/>
  <c r="V64" i="33"/>
  <c r="I64" i="33" s="1"/>
  <c r="U106" i="33"/>
  <c r="H106" i="33" s="1"/>
  <c r="W140" i="33"/>
  <c r="J140" i="33" s="1"/>
  <c r="X84" i="33"/>
  <c r="K84" i="33" s="1"/>
  <c r="X89" i="33"/>
  <c r="K89" i="33" s="1"/>
  <c r="X85" i="33"/>
  <c r="K85" i="33" s="1"/>
  <c r="X83" i="33"/>
  <c r="K83" i="33" s="1"/>
  <c r="AJ118" i="33"/>
  <c r="J118" i="33" s="1"/>
  <c r="AK91" i="33"/>
  <c r="K91" i="33" s="1"/>
  <c r="AK92" i="33"/>
  <c r="K92" i="33" s="1"/>
  <c r="AK112" i="33"/>
  <c r="AK108" i="33"/>
  <c r="AK126" i="33"/>
  <c r="K126" i="33" s="1"/>
  <c r="AK111" i="33"/>
  <c r="AK107" i="33"/>
  <c r="AK127" i="33"/>
  <c r="K127" i="33" s="1"/>
  <c r="AK122" i="33"/>
  <c r="K122" i="33" s="1"/>
  <c r="X98" i="33"/>
  <c r="K98" i="33" s="1"/>
  <c r="AO105" i="33"/>
  <c r="AJ20" i="33"/>
  <c r="J20" i="33" s="1"/>
  <c r="BL16" i="12"/>
  <c r="K34" i="32"/>
  <c r="AJ15" i="33"/>
  <c r="J15" i="33" s="1"/>
  <c r="X16" i="12"/>
  <c r="AK16" i="12"/>
  <c r="AI16" i="33"/>
  <c r="I16" i="33" s="1"/>
  <c r="J39" i="32"/>
  <c r="AI21" i="33" s="1"/>
  <c r="AX16" i="12"/>
  <c r="W6" i="33"/>
  <c r="W65" i="33"/>
  <c r="T11" i="12"/>
  <c r="H39" i="26"/>
  <c r="T21" i="12" s="1"/>
  <c r="G21" i="12" s="1"/>
  <c r="BZ16" i="12"/>
  <c r="I39" i="27"/>
  <c r="AH21" i="12" s="1"/>
  <c r="W82" i="33"/>
  <c r="J82" i="33" s="1"/>
  <c r="X119" i="33"/>
  <c r="K119" i="33" s="1"/>
  <c r="AO35" i="33"/>
  <c r="AO60" i="33"/>
  <c r="X120" i="33"/>
  <c r="K120" i="33" s="1"/>
  <c r="AO33" i="33"/>
  <c r="AO34" i="33"/>
  <c r="AO59" i="33"/>
  <c r="AM45" i="33"/>
  <c r="Q157" i="33"/>
  <c r="Q162" i="33" s="1"/>
  <c r="F63" i="21"/>
  <c r="T36" i="33"/>
  <c r="G36" i="33" s="1"/>
  <c r="G12" i="21" s="1"/>
  <c r="G177" i="27"/>
  <c r="E42" i="21"/>
  <c r="O64" i="32"/>
  <c r="AN45" i="33" s="1"/>
  <c r="O169" i="33"/>
  <c r="O171" i="33" s="1"/>
  <c r="X7" i="33"/>
  <c r="I29" i="26"/>
  <c r="AF159" i="33"/>
  <c r="AF162" i="33" s="1"/>
  <c r="F79" i="21" s="1"/>
  <c r="Y144" i="12"/>
  <c r="J29" i="26"/>
  <c r="J73" i="33"/>
  <c r="G177" i="26"/>
  <c r="L66" i="29"/>
  <c r="BK47" i="12" s="1"/>
  <c r="AI106" i="12"/>
  <c r="I106" i="12" s="1"/>
  <c r="R157" i="33"/>
  <c r="O185" i="28"/>
  <c r="O95" i="28" s="1"/>
  <c r="O185" i="27"/>
  <c r="BM142" i="12"/>
  <c r="BM34" i="12"/>
  <c r="BM143" i="12"/>
  <c r="BM33" i="12"/>
  <c r="BM35" i="12"/>
  <c r="BZ143" i="12"/>
  <c r="BZ142" i="12"/>
  <c r="BZ33" i="12"/>
  <c r="BZ35" i="12"/>
  <c r="BZ34" i="12"/>
  <c r="AL73" i="12"/>
  <c r="AL72" i="12"/>
  <c r="AY73" i="12"/>
  <c r="AY72" i="12"/>
  <c r="AY88" i="12"/>
  <c r="AY87" i="12"/>
  <c r="L87" i="12" s="1"/>
  <c r="BJ106" i="12"/>
  <c r="BJ102" i="12"/>
  <c r="AJ10" i="12"/>
  <c r="AJ102" i="12"/>
  <c r="X31" i="12"/>
  <c r="L92" i="32"/>
  <c r="AK73" i="33" s="1"/>
  <c r="K67" i="33"/>
  <c r="Z142" i="12"/>
  <c r="Z143" i="12"/>
  <c r="Z33" i="12"/>
  <c r="AL141" i="12"/>
  <c r="AL144" i="12"/>
  <c r="AM35" i="12"/>
  <c r="BL141" i="12"/>
  <c r="BL144" i="12"/>
  <c r="P118" i="32"/>
  <c r="AO98" i="33" s="1"/>
  <c r="P126" i="32"/>
  <c r="AZ141" i="12"/>
  <c r="AZ142" i="12"/>
  <c r="AM142" i="12"/>
  <c r="AM143" i="12"/>
  <c r="AZ35" i="12"/>
  <c r="AM34" i="12"/>
  <c r="P185" i="29"/>
  <c r="P96" i="32"/>
  <c r="AO77" i="33" s="1"/>
  <c r="H177" i="32"/>
  <c r="AG157" i="33" s="1"/>
  <c r="G88" i="21" s="1"/>
  <c r="G106" i="21" s="1"/>
  <c r="CB126" i="12"/>
  <c r="AY98" i="12"/>
  <c r="L98" i="12" s="1"/>
  <c r="BW106" i="12"/>
  <c r="BW102" i="12"/>
  <c r="AW102" i="12"/>
  <c r="L138" i="32"/>
  <c r="K115" i="33"/>
  <c r="J125" i="33"/>
  <c r="Z34" i="12"/>
  <c r="Z35" i="12"/>
  <c r="AZ34" i="12"/>
  <c r="BY141" i="12"/>
  <c r="BY144" i="12"/>
  <c r="AZ143" i="12"/>
  <c r="AM141" i="12"/>
  <c r="AY141" i="12"/>
  <c r="AY144" i="12"/>
  <c r="AZ33" i="12"/>
  <c r="L62" i="26"/>
  <c r="X43" i="12" s="1"/>
  <c r="W106" i="12"/>
  <c r="W102" i="12"/>
  <c r="Z117" i="12"/>
  <c r="Z141" i="12"/>
  <c r="L69" i="27"/>
  <c r="AK50" i="12" s="1"/>
  <c r="AK25" i="12"/>
  <c r="K25" i="12" s="1"/>
  <c r="L67" i="27"/>
  <c r="AK48" i="12" s="1"/>
  <c r="AK30" i="12"/>
  <c r="AG62" i="12"/>
  <c r="H176" i="27"/>
  <c r="AG156" i="12" s="1"/>
  <c r="G72" i="21" s="1"/>
  <c r="L66" i="27"/>
  <c r="AK47" i="12" s="1"/>
  <c r="AK29" i="12"/>
  <c r="L62" i="27"/>
  <c r="AK43" i="12" s="1"/>
  <c r="AK42" i="12"/>
  <c r="J65" i="27"/>
  <c r="AI46" i="12" s="1"/>
  <c r="AI45" i="12"/>
  <c r="J68" i="27"/>
  <c r="AI47" i="12"/>
  <c r="M61" i="26"/>
  <c r="Y42" i="12" s="1"/>
  <c r="Y24" i="12"/>
  <c r="L67" i="26"/>
  <c r="X48" i="12" s="1"/>
  <c r="X30" i="12"/>
  <c r="M59" i="26"/>
  <c r="Y40" i="12" s="1"/>
  <c r="Y32" i="12"/>
  <c r="J65" i="26"/>
  <c r="V46" i="12" s="1"/>
  <c r="V45" i="12"/>
  <c r="J68" i="26"/>
  <c r="V49" i="12" s="1"/>
  <c r="V47" i="12"/>
  <c r="L66" i="26"/>
  <c r="X47" i="12" s="1"/>
  <c r="X29" i="12"/>
  <c r="T62" i="12"/>
  <c r="H176" i="26"/>
  <c r="T156" i="12" s="1"/>
  <c r="G71" i="21" s="1"/>
  <c r="N60" i="28"/>
  <c r="AZ41" i="12" s="1"/>
  <c r="AZ23" i="12"/>
  <c r="J65" i="28"/>
  <c r="AV46" i="12" s="1"/>
  <c r="AV45" i="12"/>
  <c r="AT62" i="12"/>
  <c r="H176" i="28"/>
  <c r="J68" i="28"/>
  <c r="AV49" i="12" s="1"/>
  <c r="AV47" i="12"/>
  <c r="G177" i="28"/>
  <c r="AS156" i="12"/>
  <c r="L62" i="28"/>
  <c r="AX43" i="12" s="1"/>
  <c r="AX42" i="12"/>
  <c r="M63" i="28"/>
  <c r="AY44" i="12" s="1"/>
  <c r="AY26" i="12"/>
  <c r="L26" i="12" s="1"/>
  <c r="L67" i="28"/>
  <c r="AX48" i="12" s="1"/>
  <c r="AX30" i="12"/>
  <c r="BU38" i="12"/>
  <c r="L67" i="30"/>
  <c r="BX48" i="12" s="1"/>
  <c r="L62" i="30"/>
  <c r="BX43" i="12" s="1"/>
  <c r="BX41" i="12"/>
  <c r="M61" i="30"/>
  <c r="BY42" i="12" s="1"/>
  <c r="BY24" i="12"/>
  <c r="J68" i="30"/>
  <c r="BV47" i="12"/>
  <c r="L66" i="30"/>
  <c r="BX47" i="12" s="1"/>
  <c r="BX29" i="12"/>
  <c r="BV36" i="12"/>
  <c r="BV31" i="12"/>
  <c r="I31" i="12" s="1"/>
  <c r="J65" i="30"/>
  <c r="BV46" i="12" s="1"/>
  <c r="BV45" i="12"/>
  <c r="L62" i="29"/>
  <c r="BK43" i="12" s="1"/>
  <c r="BK41" i="12"/>
  <c r="M61" i="29"/>
  <c r="BL42" i="12" s="1"/>
  <c r="BL24" i="12"/>
  <c r="G177" i="29"/>
  <c r="BF156" i="12"/>
  <c r="BG62" i="12"/>
  <c r="H176" i="29"/>
  <c r="BG156" i="12" s="1"/>
  <c r="G74" i="21" s="1"/>
  <c r="L67" i="29"/>
  <c r="BK48" i="12" s="1"/>
  <c r="BK30" i="12"/>
  <c r="J65" i="29"/>
  <c r="BI46" i="12" s="1"/>
  <c r="BI45" i="12"/>
  <c r="J68" i="29"/>
  <c r="BI47" i="12"/>
  <c r="G54" i="21"/>
  <c r="G45" i="21" s="1"/>
  <c r="BL105" i="12"/>
  <c r="BY105" i="12"/>
  <c r="CB121" i="12"/>
  <c r="O185" i="26"/>
  <c r="V36" i="12"/>
  <c r="L133" i="32"/>
  <c r="AK113" i="33" s="1"/>
  <c r="L148" i="32"/>
  <c r="AK128" i="33" s="1"/>
  <c r="L145" i="32"/>
  <c r="M143" i="32"/>
  <c r="M146" i="32"/>
  <c r="M165" i="32"/>
  <c r="M128" i="32"/>
  <c r="CL108" i="12" s="1"/>
  <c r="M130" i="32"/>
  <c r="CL110" i="12" s="1"/>
  <c r="M132" i="32"/>
  <c r="CL112" i="12" s="1"/>
  <c r="M142" i="32"/>
  <c r="M144" i="32"/>
  <c r="M147" i="32"/>
  <c r="M166" i="32"/>
  <c r="M127" i="32"/>
  <c r="CL107" i="12" s="1"/>
  <c r="M129" i="32"/>
  <c r="CL109" i="12" s="1"/>
  <c r="M131" i="32"/>
  <c r="CL111" i="12" s="1"/>
  <c r="M135" i="32"/>
  <c r="M137" i="32"/>
  <c r="M136" i="32"/>
  <c r="M86" i="32"/>
  <c r="AL67" i="33" s="1"/>
  <c r="N142" i="32"/>
  <c r="N144" i="32"/>
  <c r="N147" i="32"/>
  <c r="N166" i="32"/>
  <c r="N127" i="32"/>
  <c r="N129" i="32"/>
  <c r="CM109" i="12" s="1"/>
  <c r="N131" i="32"/>
  <c r="CM111" i="12" s="1"/>
  <c r="N143" i="32"/>
  <c r="N146" i="32"/>
  <c r="N165" i="32"/>
  <c r="N128" i="32"/>
  <c r="CM108" i="12" s="1"/>
  <c r="N130" i="32"/>
  <c r="CM110" i="12" s="1"/>
  <c r="N132" i="32"/>
  <c r="CM112" i="12" s="1"/>
  <c r="N136" i="32"/>
  <c r="N135" i="32"/>
  <c r="N137" i="32"/>
  <c r="N86" i="32"/>
  <c r="AM67" i="33" s="1"/>
  <c r="L114" i="32"/>
  <c r="L173" i="32"/>
  <c r="AK153" i="33" s="1"/>
  <c r="M59" i="30"/>
  <c r="BY40" i="12" s="1"/>
  <c r="BI36" i="12"/>
  <c r="M59" i="28"/>
  <c r="AY40" i="12" s="1"/>
  <c r="AV36" i="12"/>
  <c r="M59" i="29"/>
  <c r="BL40" i="12" s="1"/>
  <c r="M59" i="27"/>
  <c r="AL40" i="12" s="1"/>
  <c r="AI36" i="12"/>
  <c r="BY73" i="12"/>
  <c r="AX31" i="12"/>
  <c r="P218" i="28"/>
  <c r="L66" i="28"/>
  <c r="AY82" i="12"/>
  <c r="AE162" i="12"/>
  <c r="E81" i="21" s="1"/>
  <c r="BK31" i="12"/>
  <c r="BX31" i="12"/>
  <c r="AL82" i="12"/>
  <c r="L56" i="27"/>
  <c r="AK37" i="12" s="1"/>
  <c r="Y153" i="12"/>
  <c r="AY77" i="12"/>
  <c r="BL88" i="12"/>
  <c r="AL88" i="12"/>
  <c r="E69" i="21"/>
  <c r="E59" i="21" s="1"/>
  <c r="L72" i="27"/>
  <c r="AK53" i="12" s="1"/>
  <c r="AK31" i="12"/>
  <c r="AL153" i="12"/>
  <c r="E61" i="21"/>
  <c r="AR162" i="12"/>
  <c r="E82" i="21" s="1"/>
  <c r="AL77" i="12"/>
  <c r="J73" i="26"/>
  <c r="V54" i="12" s="1"/>
  <c r="J57" i="26"/>
  <c r="J76" i="26"/>
  <c r="V57" i="12" s="1"/>
  <c r="J70" i="26"/>
  <c r="V51" i="12" s="1"/>
  <c r="J70" i="28"/>
  <c r="AV51" i="12" s="1"/>
  <c r="J57" i="28"/>
  <c r="AV38" i="12" s="1"/>
  <c r="J76" i="28"/>
  <c r="AV57" i="12" s="1"/>
  <c r="J73" i="28"/>
  <c r="AV54" i="12" s="1"/>
  <c r="J77" i="26"/>
  <c r="V58" i="12" s="1"/>
  <c r="J71" i="26"/>
  <c r="V52" i="12" s="1"/>
  <c r="J74" i="26"/>
  <c r="V55" i="12" s="1"/>
  <c r="J58" i="26"/>
  <c r="V39" i="12" s="1"/>
  <c r="J73" i="29"/>
  <c r="BI54" i="12" s="1"/>
  <c r="J76" i="29"/>
  <c r="BI57" i="12" s="1"/>
  <c r="J57" i="29"/>
  <c r="BI38" i="12" s="1"/>
  <c r="J70" i="29"/>
  <c r="BI51" i="12" s="1"/>
  <c r="E62" i="33"/>
  <c r="J58" i="29"/>
  <c r="BI39" i="12" s="1"/>
  <c r="J77" i="29"/>
  <c r="BI58" i="12" s="1"/>
  <c r="J71" i="29"/>
  <c r="BI52" i="12" s="1"/>
  <c r="J74" i="29"/>
  <c r="BI55" i="12" s="1"/>
  <c r="K66" i="29"/>
  <c r="BJ31" i="12"/>
  <c r="K66" i="28"/>
  <c r="AW31" i="12"/>
  <c r="K66" i="26"/>
  <c r="W31" i="12"/>
  <c r="K64" i="26"/>
  <c r="W28" i="12"/>
  <c r="K64" i="28"/>
  <c r="AW28" i="12"/>
  <c r="X27" i="12"/>
  <c r="BX27" i="12"/>
  <c r="AX27" i="12"/>
  <c r="AK27" i="12"/>
  <c r="BK27" i="12"/>
  <c r="BY77" i="12"/>
  <c r="J74" i="30"/>
  <c r="BV55" i="12" s="1"/>
  <c r="J77" i="30"/>
  <c r="BV58" i="12" s="1"/>
  <c r="J58" i="30"/>
  <c r="BV39" i="12" s="1"/>
  <c r="J71" i="30"/>
  <c r="BV52" i="12" s="1"/>
  <c r="J70" i="27"/>
  <c r="AI51" i="12" s="1"/>
  <c r="J57" i="27"/>
  <c r="AI38" i="12" s="1"/>
  <c r="J76" i="27"/>
  <c r="AI57" i="12" s="1"/>
  <c r="J73" i="27"/>
  <c r="AI54" i="12" s="1"/>
  <c r="J73" i="30"/>
  <c r="BV54" i="12" s="1"/>
  <c r="J70" i="30"/>
  <c r="BV51" i="12" s="1"/>
  <c r="J57" i="30"/>
  <c r="BV38" i="12" s="1"/>
  <c r="J76" i="30"/>
  <c r="BV57" i="12" s="1"/>
  <c r="J74" i="27"/>
  <c r="AI55" i="12" s="1"/>
  <c r="J77" i="27"/>
  <c r="AI58" i="12" s="1"/>
  <c r="J58" i="27"/>
  <c r="AI39" i="12" s="1"/>
  <c r="J71" i="27"/>
  <c r="AI52" i="12" s="1"/>
  <c r="J58" i="28"/>
  <c r="AV39" i="12" s="1"/>
  <c r="J71" i="28"/>
  <c r="AV52" i="12" s="1"/>
  <c r="J74" i="28"/>
  <c r="J77" i="28"/>
  <c r="AV58" i="12" s="1"/>
  <c r="F62" i="21"/>
  <c r="AJ31" i="12"/>
  <c r="K66" i="27"/>
  <c r="K66" i="30"/>
  <c r="K64" i="27"/>
  <c r="AJ28" i="12"/>
  <c r="K64" i="29"/>
  <c r="BJ28" i="12"/>
  <c r="K64" i="30"/>
  <c r="BW28" i="12"/>
  <c r="Y82" i="12"/>
  <c r="BL77" i="12"/>
  <c r="BL73" i="12"/>
  <c r="AY140" i="12"/>
  <c r="Y140" i="12"/>
  <c r="K100" i="33"/>
  <c r="AL140" i="12"/>
  <c r="AY153" i="12"/>
  <c r="L75" i="26"/>
  <c r="X56" i="12" s="1"/>
  <c r="L69" i="26"/>
  <c r="X50" i="12" s="1"/>
  <c r="L56" i="26"/>
  <c r="L72" i="26"/>
  <c r="X53" i="12" s="1"/>
  <c r="AM125" i="12"/>
  <c r="AM118" i="12"/>
  <c r="D100" i="21"/>
  <c r="D118" i="21"/>
  <c r="Z165" i="33"/>
  <c r="Z166" i="33" s="1"/>
  <c r="R159" i="12"/>
  <c r="D107" i="21"/>
  <c r="D105" i="21"/>
  <c r="Z5" i="12"/>
  <c r="N63" i="26"/>
  <c r="Z44" i="12" s="1"/>
  <c r="AK111" i="12"/>
  <c r="X111" i="12"/>
  <c r="BK111" i="12"/>
  <c r="AX111" i="12"/>
  <c r="BX111" i="12"/>
  <c r="X112" i="12"/>
  <c r="AK112" i="12"/>
  <c r="BX112" i="12"/>
  <c r="BK112" i="12"/>
  <c r="AX112" i="12"/>
  <c r="X108" i="12"/>
  <c r="AK108" i="12"/>
  <c r="BK108" i="12"/>
  <c r="AX108" i="12"/>
  <c r="BX108" i="12"/>
  <c r="AY65" i="12"/>
  <c r="AZ135" i="12"/>
  <c r="AZ120" i="12"/>
  <c r="AZ89" i="12"/>
  <c r="AZ59" i="12"/>
  <c r="AZ151" i="12"/>
  <c r="AZ137" i="12"/>
  <c r="AZ129" i="12"/>
  <c r="AZ78" i="12"/>
  <c r="AZ72" i="12"/>
  <c r="AZ150" i="12"/>
  <c r="AZ136" i="12"/>
  <c r="AZ132" i="12"/>
  <c r="AZ103" i="12"/>
  <c r="AZ84" i="12"/>
  <c r="AZ61" i="12"/>
  <c r="AZ24" i="12"/>
  <c r="AZ114" i="12"/>
  <c r="AZ100" i="12"/>
  <c r="AZ85" i="12"/>
  <c r="AZ81" i="12"/>
  <c r="AZ63" i="12"/>
  <c r="AZ32" i="12"/>
  <c r="AM134" i="12"/>
  <c r="AM150" i="12"/>
  <c r="AM130" i="12"/>
  <c r="AM152" i="12"/>
  <c r="AM136" i="12"/>
  <c r="AM59" i="12"/>
  <c r="AM151" i="12"/>
  <c r="AM139" i="12"/>
  <c r="AM135" i="12"/>
  <c r="AM131" i="12"/>
  <c r="AM120" i="12"/>
  <c r="AM87" i="12"/>
  <c r="AM80" i="12"/>
  <c r="AM72" i="12"/>
  <c r="AM32" i="12"/>
  <c r="AM119" i="12"/>
  <c r="AM114" i="12"/>
  <c r="AM105" i="12"/>
  <c r="AM86" i="12"/>
  <c r="AM81" i="12"/>
  <c r="AM66" i="12"/>
  <c r="AM26" i="12"/>
  <c r="AM75" i="12"/>
  <c r="AM60" i="12"/>
  <c r="CB98" i="12"/>
  <c r="CB94" i="12"/>
  <c r="Z132" i="12"/>
  <c r="Z105" i="12"/>
  <c r="Z86" i="12"/>
  <c r="Z75" i="12"/>
  <c r="Z134" i="12"/>
  <c r="Z103" i="12"/>
  <c r="Z84" i="12"/>
  <c r="Z63" i="12"/>
  <c r="Z23" i="12"/>
  <c r="Z150" i="12"/>
  <c r="Z137" i="12"/>
  <c r="Z133" i="12"/>
  <c r="Z129" i="12"/>
  <c r="Z120" i="12"/>
  <c r="Z114" i="12"/>
  <c r="Z100" i="12"/>
  <c r="Z98" i="12"/>
  <c r="Z94" i="12"/>
  <c r="Z85" i="12"/>
  <c r="Z80" i="12"/>
  <c r="Z72" i="12"/>
  <c r="L56" i="28"/>
  <c r="AX37" i="12" s="1"/>
  <c r="L75" i="28"/>
  <c r="AX56" i="12" s="1"/>
  <c r="L72" i="28"/>
  <c r="AX53" i="12" s="1"/>
  <c r="L69" i="28"/>
  <c r="AX50" i="12" s="1"/>
  <c r="E11" i="33"/>
  <c r="E21" i="33" s="1"/>
  <c r="M63" i="26"/>
  <c r="Y44" i="12" s="1"/>
  <c r="L72" i="30"/>
  <c r="BX53" i="12" s="1"/>
  <c r="L56" i="30"/>
  <c r="BX37" i="12" s="1"/>
  <c r="L75" i="30"/>
  <c r="BX56" i="12" s="1"/>
  <c r="L69" i="30"/>
  <c r="BX50" i="12" s="1"/>
  <c r="Y88" i="12"/>
  <c r="BL153" i="12"/>
  <c r="M63" i="29"/>
  <c r="BL44" i="12" s="1"/>
  <c r="BL82" i="12"/>
  <c r="BY82" i="12"/>
  <c r="BY140" i="12"/>
  <c r="M63" i="30"/>
  <c r="BY44" i="12" s="1"/>
  <c r="BY153" i="12"/>
  <c r="AW113" i="12"/>
  <c r="BW113" i="12"/>
  <c r="W113" i="12"/>
  <c r="AK107" i="12"/>
  <c r="X107" i="12"/>
  <c r="BK107" i="12"/>
  <c r="BX107" i="12"/>
  <c r="AX107" i="12"/>
  <c r="AK109" i="12"/>
  <c r="X109" i="12"/>
  <c r="BK109" i="12"/>
  <c r="AX109" i="12"/>
  <c r="BX109" i="12"/>
  <c r="AK110" i="12"/>
  <c r="X110" i="12"/>
  <c r="AX110" i="12"/>
  <c r="BK110" i="12"/>
  <c r="BX110" i="12"/>
  <c r="AK64" i="12"/>
  <c r="X64" i="12"/>
  <c r="BK64" i="12"/>
  <c r="BX64" i="12"/>
  <c r="AX64" i="12"/>
  <c r="J153" i="33"/>
  <c r="BM23" i="12"/>
  <c r="BM60" i="12"/>
  <c r="BM74" i="12"/>
  <c r="BM79" i="12"/>
  <c r="BM83" i="12"/>
  <c r="BM87" i="12"/>
  <c r="BM114" i="12"/>
  <c r="BM119" i="12"/>
  <c r="BM130" i="12"/>
  <c r="BM134" i="12"/>
  <c r="BM138" i="12"/>
  <c r="BM148" i="12"/>
  <c r="BM152" i="12"/>
  <c r="BM32" i="12"/>
  <c r="BM66" i="12"/>
  <c r="BM80" i="12"/>
  <c r="BM100" i="12"/>
  <c r="BM129" i="12"/>
  <c r="BM137" i="12"/>
  <c r="BM151" i="12"/>
  <c r="BM59" i="12"/>
  <c r="BM75" i="12"/>
  <c r="BM84" i="12"/>
  <c r="BM135" i="12"/>
  <c r="BM81" i="12"/>
  <c r="BM89" i="12"/>
  <c r="BM103" i="12"/>
  <c r="BM136" i="12"/>
  <c r="BM150" i="12"/>
  <c r="BM133" i="12"/>
  <c r="BM78" i="12"/>
  <c r="BM131" i="12"/>
  <c r="BM63" i="12"/>
  <c r="BM85" i="12"/>
  <c r="BM132" i="12"/>
  <c r="BM61" i="12"/>
  <c r="BM120" i="12"/>
  <c r="BM72" i="12"/>
  <c r="BM139" i="12"/>
  <c r="BM149" i="12"/>
  <c r="BZ26" i="12"/>
  <c r="BZ32" i="12"/>
  <c r="BZ63" i="12"/>
  <c r="BZ23" i="12"/>
  <c r="BZ59" i="12"/>
  <c r="BZ80" i="12"/>
  <c r="BZ85" i="12"/>
  <c r="BZ89" i="12"/>
  <c r="BZ100" i="12"/>
  <c r="BZ114" i="12"/>
  <c r="BZ120" i="12"/>
  <c r="BZ129" i="12"/>
  <c r="BZ133" i="12"/>
  <c r="BZ137" i="12"/>
  <c r="BZ151" i="12"/>
  <c r="BZ61" i="12"/>
  <c r="BZ79" i="12"/>
  <c r="BZ84" i="12"/>
  <c r="BZ132" i="12"/>
  <c r="BZ150" i="12"/>
  <c r="BZ130" i="12"/>
  <c r="BZ138" i="12"/>
  <c r="BZ148" i="12"/>
  <c r="BZ60" i="12"/>
  <c r="BZ75" i="12"/>
  <c r="BZ72" i="12"/>
  <c r="BZ78" i="12"/>
  <c r="BZ83" i="12"/>
  <c r="BZ87" i="12"/>
  <c r="BZ131" i="12"/>
  <c r="BZ135" i="12"/>
  <c r="BZ139" i="12"/>
  <c r="BZ149" i="12"/>
  <c r="BZ66" i="12"/>
  <c r="BZ74" i="12"/>
  <c r="BZ81" i="12"/>
  <c r="BZ86" i="12"/>
  <c r="BZ136" i="12"/>
  <c r="BZ103" i="12"/>
  <c r="BZ119" i="12"/>
  <c r="BZ134" i="12"/>
  <c r="BZ152" i="12"/>
  <c r="AZ149" i="12"/>
  <c r="AZ139" i="12"/>
  <c r="AZ131" i="12"/>
  <c r="AZ105" i="12"/>
  <c r="AZ133" i="12"/>
  <c r="AZ86" i="12"/>
  <c r="AZ75" i="12"/>
  <c r="AZ152" i="12"/>
  <c r="AZ148" i="12"/>
  <c r="AZ138" i="12"/>
  <c r="AZ134" i="12"/>
  <c r="AZ130" i="12"/>
  <c r="AZ119" i="12"/>
  <c r="AZ80" i="12"/>
  <c r="AZ26" i="12"/>
  <c r="AZ87" i="12"/>
  <c r="AZ83" i="12"/>
  <c r="AZ79" i="12"/>
  <c r="AZ74" i="12"/>
  <c r="AZ60" i="12"/>
  <c r="AM85" i="12"/>
  <c r="AM138" i="12"/>
  <c r="AM78" i="12"/>
  <c r="AM148" i="12"/>
  <c r="AM132" i="12"/>
  <c r="AM149" i="12"/>
  <c r="AM137" i="12"/>
  <c r="AM133" i="12"/>
  <c r="AM129" i="12"/>
  <c r="AM100" i="12"/>
  <c r="AM89" i="12"/>
  <c r="AM83" i="12"/>
  <c r="AM74" i="12"/>
  <c r="AM103" i="12"/>
  <c r="AM98" i="12"/>
  <c r="AM84" i="12"/>
  <c r="AM79" i="12"/>
  <c r="AM61" i="12"/>
  <c r="AM24" i="12"/>
  <c r="AM63" i="12"/>
  <c r="Z149" i="12"/>
  <c r="Z136" i="12"/>
  <c r="Z119" i="12"/>
  <c r="Z89" i="12"/>
  <c r="Z81" i="12"/>
  <c r="Z61" i="12"/>
  <c r="Z151" i="12"/>
  <c r="Z138" i="12"/>
  <c r="Z130" i="12"/>
  <c r="Z79" i="12"/>
  <c r="Z59" i="12"/>
  <c r="Z152" i="12"/>
  <c r="Z148" i="12"/>
  <c r="Z139" i="12"/>
  <c r="Z135" i="12"/>
  <c r="Z131" i="12"/>
  <c r="Z87" i="12"/>
  <c r="Z83" i="12"/>
  <c r="Z78" i="12"/>
  <c r="Z74" i="12"/>
  <c r="Z66" i="12"/>
  <c r="Z60" i="12"/>
  <c r="L69" i="29"/>
  <c r="BK50" i="12" s="1"/>
  <c r="L75" i="29"/>
  <c r="BK56" i="12" s="1"/>
  <c r="L56" i="29"/>
  <c r="BK37" i="12" s="1"/>
  <c r="L72" i="29"/>
  <c r="BK53" i="12" s="1"/>
  <c r="M60" i="29"/>
  <c r="BL25" i="12"/>
  <c r="BL140" i="12"/>
  <c r="BY88" i="12"/>
  <c r="BY25" i="12"/>
  <c r="M60" i="30"/>
  <c r="AL25" i="12"/>
  <c r="M60" i="27"/>
  <c r="AY25" i="12"/>
  <c r="M60" i="28"/>
  <c r="Y77" i="12"/>
  <c r="Y25" i="12"/>
  <c r="BJ113" i="12"/>
  <c r="AJ113" i="12"/>
  <c r="AA71" i="12"/>
  <c r="AA91" i="12"/>
  <c r="AA93" i="12"/>
  <c r="AA96" i="12"/>
  <c r="AA101" i="12"/>
  <c r="AA115" i="12"/>
  <c r="AA121" i="12"/>
  <c r="AA123" i="12"/>
  <c r="AA147" i="12"/>
  <c r="AA104" i="12"/>
  <c r="AA122" i="12"/>
  <c r="AA70" i="12"/>
  <c r="AA95" i="12"/>
  <c r="AA127" i="12"/>
  <c r="AA146" i="12"/>
  <c r="O184" i="27"/>
  <c r="O184" i="29"/>
  <c r="O184" i="26"/>
  <c r="AA23" i="12" s="1"/>
  <c r="O184" i="32"/>
  <c r="O184" i="28"/>
  <c r="O184" i="30"/>
  <c r="O78" i="30" s="1"/>
  <c r="BA91" i="12"/>
  <c r="BA101" i="12"/>
  <c r="BA104" i="12"/>
  <c r="BA122" i="12"/>
  <c r="BA69" i="12"/>
  <c r="BA116" i="12"/>
  <c r="BA126" i="12"/>
  <c r="BA95" i="12"/>
  <c r="BO121" i="12"/>
  <c r="BO123" i="12"/>
  <c r="BO97" i="12"/>
  <c r="AN71" i="12"/>
  <c r="AN91" i="12"/>
  <c r="AN93" i="12"/>
  <c r="AN104" i="12"/>
  <c r="AN117" i="12"/>
  <c r="AN124" i="12"/>
  <c r="AN69" i="12"/>
  <c r="AN127" i="12"/>
  <c r="AN116" i="12"/>
  <c r="AN145" i="12"/>
  <c r="AN97" i="12"/>
  <c r="AN123" i="12"/>
  <c r="BN128" i="12"/>
  <c r="N18" i="26"/>
  <c r="N33" i="26" s="1"/>
  <c r="Z15" i="12" s="1"/>
  <c r="Z9" i="12"/>
  <c r="Z12" i="12"/>
  <c r="Z7" i="12"/>
  <c r="P218" i="29"/>
  <c r="P218" i="27"/>
  <c r="O18" i="29"/>
  <c r="O33" i="29" s="1"/>
  <c r="BN15" i="12" s="1"/>
  <c r="BN8" i="12"/>
  <c r="P7" i="4"/>
  <c r="P8" i="4" s="1"/>
  <c r="P184" i="34" s="1"/>
  <c r="BN9" i="12"/>
  <c r="BN12" i="12"/>
  <c r="M34" i="28"/>
  <c r="BN7" i="12"/>
  <c r="AZ9" i="12"/>
  <c r="AZ8" i="12"/>
  <c r="N18" i="28"/>
  <c r="N33" i="28" s="1"/>
  <c r="AZ15" i="12" s="1"/>
  <c r="AZ7" i="12"/>
  <c r="P182" i="27"/>
  <c r="I176" i="32"/>
  <c r="AH156" i="33" s="1"/>
  <c r="H70" i="21" s="1"/>
  <c r="O34" i="30"/>
  <c r="M34" i="27"/>
  <c r="N34" i="29"/>
  <c r="M17" i="32"/>
  <c r="M19" i="32"/>
  <c r="M20" i="32"/>
  <c r="N17" i="32"/>
  <c r="N20" i="32"/>
  <c r="AM102" i="12"/>
  <c r="N19" i="32"/>
  <c r="P19" i="29"/>
  <c r="P17" i="29"/>
  <c r="P20" i="29"/>
  <c r="O20" i="26"/>
  <c r="O19" i="26"/>
  <c r="O17" i="26"/>
  <c r="O23" i="26" s="1"/>
  <c r="O83" i="26" s="1"/>
  <c r="O17" i="27"/>
  <c r="O20" i="27"/>
  <c r="O19" i="27"/>
  <c r="AB165" i="12"/>
  <c r="P181" i="26"/>
  <c r="P182" i="26" s="1"/>
  <c r="O35" i="21"/>
  <c r="BB165" i="12"/>
  <c r="P181" i="28"/>
  <c r="P182" i="28" s="1"/>
  <c r="P113" i="28" s="1"/>
  <c r="L165" i="33"/>
  <c r="L166" i="33" s="1"/>
  <c r="Y166" i="33"/>
  <c r="Q284" i="15"/>
  <c r="Q412" i="15" s="1"/>
  <c r="Q276" i="15"/>
  <c r="Q404" i="15" s="1"/>
  <c r="Q280" i="15"/>
  <c r="Q408" i="15" s="1"/>
  <c r="M218" i="32"/>
  <c r="CA6" i="12"/>
  <c r="O20" i="28"/>
  <c r="O17" i="28"/>
  <c r="O19" i="28"/>
  <c r="O33" i="21"/>
  <c r="Y6" i="12"/>
  <c r="M34" i="26"/>
  <c r="O180" i="32"/>
  <c r="AA164" i="33"/>
  <c r="N164" i="33" s="1"/>
  <c r="AM12" i="12"/>
  <c r="N18" i="27"/>
  <c r="N33" i="27" s="1"/>
  <c r="AM15" i="12" s="1"/>
  <c r="AM7" i="12"/>
  <c r="L18" i="32"/>
  <c r="L33" i="32" s="1"/>
  <c r="L26" i="32"/>
  <c r="CB8" i="12"/>
  <c r="CB12" i="12"/>
  <c r="P18" i="30"/>
  <c r="P33" i="30" s="1"/>
  <c r="CB15" i="12" s="1"/>
  <c r="CB7" i="12"/>
  <c r="O26" i="28" l="1"/>
  <c r="O23" i="28"/>
  <c r="O83" i="28" s="1"/>
  <c r="M115" i="12"/>
  <c r="Z115" i="33" s="1"/>
  <c r="AM8" i="12"/>
  <c r="O26" i="27"/>
  <c r="O29" i="27" s="1"/>
  <c r="O23" i="27"/>
  <c r="O83" i="27" s="1"/>
  <c r="P45" i="27"/>
  <c r="P47" i="27" s="1"/>
  <c r="P136" i="27"/>
  <c r="P137" i="27"/>
  <c r="P42" i="27"/>
  <c r="P44" i="27" s="1"/>
  <c r="P48" i="27"/>
  <c r="P50" i="27" s="1"/>
  <c r="P113" i="27"/>
  <c r="P67" i="32"/>
  <c r="AO48" i="33" s="1"/>
  <c r="P45" i="26"/>
  <c r="P47" i="26" s="1"/>
  <c r="P42" i="26"/>
  <c r="P44" i="26" s="1"/>
  <c r="P48" i="26"/>
  <c r="P50" i="26" s="1"/>
  <c r="P113" i="26"/>
  <c r="F43" i="21"/>
  <c r="J43" i="33"/>
  <c r="J37" i="33"/>
  <c r="J56" i="33"/>
  <c r="J53" i="33"/>
  <c r="J41" i="33"/>
  <c r="L6" i="12"/>
  <c r="M23" i="32" s="1"/>
  <c r="M83" i="32" s="1"/>
  <c r="AL64" i="33" s="1"/>
  <c r="P26" i="29"/>
  <c r="P29" i="29" s="1"/>
  <c r="P23" i="29"/>
  <c r="P83" i="29" s="1"/>
  <c r="AK41" i="33"/>
  <c r="L62" i="32"/>
  <c r="AK43" i="33" s="1"/>
  <c r="AK25" i="33"/>
  <c r="L75" i="32"/>
  <c r="AK56" i="33" s="1"/>
  <c r="L69" i="32"/>
  <c r="AK50" i="33" s="1"/>
  <c r="L56" i="32"/>
  <c r="AK37" i="33" s="1"/>
  <c r="L72" i="32"/>
  <c r="AK53" i="33" s="1"/>
  <c r="AK28" i="33"/>
  <c r="L70" i="32"/>
  <c r="AK51" i="33" s="1"/>
  <c r="L73" i="32"/>
  <c r="AK54" i="33" s="1"/>
  <c r="L57" i="32"/>
  <c r="AK38" i="33" s="1"/>
  <c r="L76" i="32"/>
  <c r="AK57" i="33" s="1"/>
  <c r="AZ5" i="12"/>
  <c r="AK47" i="33"/>
  <c r="L68" i="32"/>
  <c r="N50" i="32"/>
  <c r="AM29" i="33"/>
  <c r="N66" i="32"/>
  <c r="J50" i="33"/>
  <c r="AK31" i="33"/>
  <c r="L58" i="32"/>
  <c r="AK39" i="33" s="1"/>
  <c r="L55" i="32"/>
  <c r="AK36" i="33" s="1"/>
  <c r="L74" i="32"/>
  <c r="AK55" i="33" s="1"/>
  <c r="L77" i="32"/>
  <c r="AK58" i="33" s="1"/>
  <c r="L71" i="32"/>
  <c r="AK52" i="33" s="1"/>
  <c r="N44" i="32"/>
  <c r="AM23" i="33"/>
  <c r="N60" i="32"/>
  <c r="K26" i="33"/>
  <c r="M44" i="32"/>
  <c r="AL23" i="33"/>
  <c r="L23" i="33" s="1"/>
  <c r="M60" i="32"/>
  <c r="N47" i="32"/>
  <c r="AM26" i="33"/>
  <c r="N63" i="32"/>
  <c r="AJ49" i="33"/>
  <c r="K81" i="32"/>
  <c r="AJ62" i="33" s="1"/>
  <c r="M50" i="32"/>
  <c r="AL29" i="33"/>
  <c r="M66" i="32"/>
  <c r="AK44" i="33"/>
  <c r="K44" i="33" s="1"/>
  <c r="L65" i="32"/>
  <c r="AK46" i="33" s="1"/>
  <c r="K23" i="33"/>
  <c r="M47" i="32"/>
  <c r="AL26" i="33"/>
  <c r="M63" i="32"/>
  <c r="P42" i="28"/>
  <c r="P44" i="28" s="1"/>
  <c r="P48" i="28"/>
  <c r="P50" i="28" s="1"/>
  <c r="P136" i="28"/>
  <c r="P45" i="28"/>
  <c r="P47" i="28" s="1"/>
  <c r="P137" i="28"/>
  <c r="N84" i="26"/>
  <c r="N24" i="26"/>
  <c r="N84" i="27"/>
  <c r="AM65" i="12" s="1"/>
  <c r="N24" i="27"/>
  <c r="AM6" i="12" s="1"/>
  <c r="O84" i="29"/>
  <c r="BN65" i="12" s="1"/>
  <c r="O24" i="29"/>
  <c r="BN6" i="12" s="1"/>
  <c r="N84" i="28"/>
  <c r="AZ65" i="12" s="1"/>
  <c r="N24" i="28"/>
  <c r="AZ6" i="12" s="1"/>
  <c r="CB65" i="12"/>
  <c r="P24" i="30"/>
  <c r="O108" i="26"/>
  <c r="L76" i="12"/>
  <c r="Y76" i="33" s="1"/>
  <c r="L76" i="33" s="1"/>
  <c r="P137" i="26"/>
  <c r="P136" i="26"/>
  <c r="AB116" i="12" s="1"/>
  <c r="E118" i="21"/>
  <c r="E100" i="21"/>
  <c r="O29" i="28"/>
  <c r="AS157" i="12"/>
  <c r="F91" i="21" s="1"/>
  <c r="F73" i="21"/>
  <c r="F64" i="21" s="1"/>
  <c r="L5" i="12"/>
  <c r="Y5" i="33" s="1"/>
  <c r="E117" i="21"/>
  <c r="E99" i="21"/>
  <c r="I112" i="21"/>
  <c r="H112" i="21"/>
  <c r="F103" i="21"/>
  <c r="F121" i="21"/>
  <c r="CH159" i="12"/>
  <c r="CH162" i="12" s="1"/>
  <c r="G85" i="21"/>
  <c r="P92" i="29"/>
  <c r="BF157" i="12"/>
  <c r="F92" i="21" s="1"/>
  <c r="F74" i="21"/>
  <c r="P118" i="29"/>
  <c r="BO98" i="12" s="1"/>
  <c r="BF159" i="12"/>
  <c r="E83" i="21"/>
  <c r="D114" i="21"/>
  <c r="D96" i="21"/>
  <c r="F97" i="21"/>
  <c r="F115" i="21"/>
  <c r="E120" i="21"/>
  <c r="E102" i="21"/>
  <c r="O55" i="29"/>
  <c r="BO68" i="12"/>
  <c r="P145" i="29"/>
  <c r="BO125" i="12" s="1"/>
  <c r="P148" i="29"/>
  <c r="BO128" i="12" s="1"/>
  <c r="P114" i="29"/>
  <c r="BO94" i="12" s="1"/>
  <c r="P82" i="28"/>
  <c r="O148" i="28"/>
  <c r="O145" i="28"/>
  <c r="P51" i="28"/>
  <c r="O108" i="28"/>
  <c r="K7" i="33"/>
  <c r="O133" i="26"/>
  <c r="P125" i="26"/>
  <c r="O145" i="26"/>
  <c r="AA125" i="12" s="1"/>
  <c r="M30" i="32"/>
  <c r="AL12" i="33" s="1"/>
  <c r="L12" i="33" s="1"/>
  <c r="M25" i="32"/>
  <c r="AL7" i="33" s="1"/>
  <c r="M27" i="32"/>
  <c r="AL9" i="33" s="1"/>
  <c r="L9" i="33" s="1"/>
  <c r="P29" i="30"/>
  <c r="N25" i="32"/>
  <c r="AM7" i="33" s="1"/>
  <c r="N30" i="32"/>
  <c r="AM12" i="33" s="1"/>
  <c r="N27" i="32"/>
  <c r="AM9" i="33" s="1"/>
  <c r="H49" i="12"/>
  <c r="U49" i="33" s="1"/>
  <c r="H49" i="33" s="1"/>
  <c r="CB5" i="12"/>
  <c r="J6" i="33"/>
  <c r="J65" i="33"/>
  <c r="BN5" i="12"/>
  <c r="AM76" i="12"/>
  <c r="M76" i="12" s="1"/>
  <c r="Z76" i="33" s="1"/>
  <c r="M76" i="33" s="1"/>
  <c r="O101" i="27"/>
  <c r="N55" i="26"/>
  <c r="O148" i="27"/>
  <c r="O173" i="28"/>
  <c r="BO90" i="12"/>
  <c r="AM5" i="12"/>
  <c r="O133" i="28"/>
  <c r="O118" i="28"/>
  <c r="BA98" i="12" s="1"/>
  <c r="P95" i="29"/>
  <c r="BO76" i="12" s="1"/>
  <c r="P126" i="29"/>
  <c r="P133" i="29"/>
  <c r="O138" i="26"/>
  <c r="AA118" i="12" s="1"/>
  <c r="O118" i="26"/>
  <c r="O114" i="26"/>
  <c r="O55" i="27"/>
  <c r="O92" i="27"/>
  <c r="O133" i="27"/>
  <c r="O160" i="27"/>
  <c r="O126" i="26"/>
  <c r="O28" i="26"/>
  <c r="BO9" i="12"/>
  <c r="O101" i="26"/>
  <c r="N70" i="12"/>
  <c r="AA70" i="33" s="1"/>
  <c r="N70" i="33" s="1"/>
  <c r="AI49" i="12"/>
  <c r="J81" i="27"/>
  <c r="P101" i="29"/>
  <c r="P160" i="29"/>
  <c r="O126" i="27"/>
  <c r="O96" i="28"/>
  <c r="O126" i="28"/>
  <c r="P138" i="29"/>
  <c r="O95" i="26"/>
  <c r="AA76" i="12" s="1"/>
  <c r="O95" i="27"/>
  <c r="O96" i="27" s="1"/>
  <c r="O145" i="27"/>
  <c r="O118" i="27"/>
  <c r="AN98" i="12" s="1"/>
  <c r="P82" i="26"/>
  <c r="P111" i="26"/>
  <c r="P103" i="26"/>
  <c r="P112" i="26"/>
  <c r="AB92" i="12" s="1"/>
  <c r="P110" i="26"/>
  <c r="AB90" i="12" s="1"/>
  <c r="P168" i="26"/>
  <c r="P171" i="26"/>
  <c r="P117" i="26"/>
  <c r="AB97" i="12" s="1"/>
  <c r="P166" i="26"/>
  <c r="AB146" i="12" s="1"/>
  <c r="P169" i="26"/>
  <c r="P115" i="26"/>
  <c r="P172" i="26"/>
  <c r="P167" i="26"/>
  <c r="AB147" i="12" s="1"/>
  <c r="P116" i="26"/>
  <c r="P165" i="26"/>
  <c r="P149" i="26"/>
  <c r="P152" i="26"/>
  <c r="P150" i="26"/>
  <c r="P154" i="26"/>
  <c r="P157" i="26"/>
  <c r="P170" i="26"/>
  <c r="P155" i="26"/>
  <c r="P158" i="26"/>
  <c r="P151" i="26"/>
  <c r="P159" i="26"/>
  <c r="P142" i="26"/>
  <c r="P146" i="26"/>
  <c r="P153" i="26"/>
  <c r="P134" i="26"/>
  <c r="P143" i="26"/>
  <c r="AB123" i="12" s="1"/>
  <c r="P147" i="26"/>
  <c r="P135" i="26"/>
  <c r="AB115" i="12" s="1"/>
  <c r="P141" i="26"/>
  <c r="AB121" i="12" s="1"/>
  <c r="P144" i="26"/>
  <c r="P129" i="26"/>
  <c r="P156" i="26"/>
  <c r="P132" i="26"/>
  <c r="P128" i="26"/>
  <c r="P127" i="26"/>
  <c r="P130" i="26"/>
  <c r="P131" i="26"/>
  <c r="P124" i="26"/>
  <c r="P121" i="26"/>
  <c r="P122" i="26"/>
  <c r="P119" i="26"/>
  <c r="AB99" i="12" s="1"/>
  <c r="P28" i="26"/>
  <c r="P123" i="26"/>
  <c r="P90" i="26"/>
  <c r="AB71" i="12" s="1"/>
  <c r="P120" i="26"/>
  <c r="P93" i="26"/>
  <c r="P94" i="26"/>
  <c r="P97" i="26"/>
  <c r="P98" i="26"/>
  <c r="P99" i="26"/>
  <c r="P104" i="26"/>
  <c r="P109" i="26"/>
  <c r="P87" i="26"/>
  <c r="AB68" i="12" s="1"/>
  <c r="P107" i="26"/>
  <c r="P53" i="26"/>
  <c r="P106" i="26"/>
  <c r="P85" i="26"/>
  <c r="P105" i="26"/>
  <c r="P88" i="26"/>
  <c r="AB93" i="12"/>
  <c r="P54" i="26"/>
  <c r="P91" i="26"/>
  <c r="P102" i="26"/>
  <c r="P86" i="26"/>
  <c r="P89" i="26"/>
  <c r="AB70" i="12" s="1"/>
  <c r="P52" i="26"/>
  <c r="P78" i="26"/>
  <c r="P100" i="26"/>
  <c r="P79" i="26"/>
  <c r="P80" i="26"/>
  <c r="P139" i="26"/>
  <c r="P140" i="26"/>
  <c r="P51" i="26"/>
  <c r="AN9" i="12"/>
  <c r="AN5" i="12"/>
  <c r="BA76" i="12"/>
  <c r="P108" i="29"/>
  <c r="O92" i="26"/>
  <c r="O108" i="27"/>
  <c r="O138" i="27"/>
  <c r="AN118" i="12" s="1"/>
  <c r="O173" i="27"/>
  <c r="O92" i="28"/>
  <c r="O138" i="28"/>
  <c r="BA118" i="12" s="1"/>
  <c r="O114" i="28"/>
  <c r="BA94" i="12" s="1"/>
  <c r="P173" i="29"/>
  <c r="O160" i="26"/>
  <c r="O114" i="27"/>
  <c r="AN94" i="12" s="1"/>
  <c r="P103" i="27"/>
  <c r="P112" i="27"/>
  <c r="AO92" i="12" s="1"/>
  <c r="P110" i="27"/>
  <c r="P111" i="27"/>
  <c r="AO91" i="12" s="1"/>
  <c r="P82" i="27"/>
  <c r="P170" i="27"/>
  <c r="P165" i="27"/>
  <c r="P116" i="27"/>
  <c r="P168" i="27"/>
  <c r="P171" i="27"/>
  <c r="P166" i="27"/>
  <c r="AO146" i="12" s="1"/>
  <c r="P117" i="27"/>
  <c r="AO97" i="12" s="1"/>
  <c r="P169" i="27"/>
  <c r="P115" i="27"/>
  <c r="P167" i="27"/>
  <c r="P152" i="27"/>
  <c r="P172" i="27"/>
  <c r="P155" i="27"/>
  <c r="P150" i="27"/>
  <c r="P158" i="27"/>
  <c r="P153" i="27"/>
  <c r="P156" i="27"/>
  <c r="P151" i="27"/>
  <c r="P159" i="27"/>
  <c r="P154" i="27"/>
  <c r="P140" i="27"/>
  <c r="P135" i="27"/>
  <c r="AO115" i="12" s="1"/>
  <c r="P143" i="27"/>
  <c r="AO123" i="12" s="1"/>
  <c r="P149" i="27"/>
  <c r="P141" i="27"/>
  <c r="P146" i="27"/>
  <c r="P144" i="27"/>
  <c r="P139" i="27"/>
  <c r="P138" i="27"/>
  <c r="P132" i="27"/>
  <c r="P127" i="27"/>
  <c r="P130" i="27"/>
  <c r="P157" i="27"/>
  <c r="P128" i="27"/>
  <c r="P134" i="27"/>
  <c r="P147" i="27"/>
  <c r="P131" i="27"/>
  <c r="P129" i="27"/>
  <c r="P142" i="27"/>
  <c r="AO122" i="12" s="1"/>
  <c r="P120" i="27"/>
  <c r="P109" i="27"/>
  <c r="P97" i="27"/>
  <c r="P104" i="27"/>
  <c r="P124" i="27"/>
  <c r="P94" i="27"/>
  <c r="P100" i="27"/>
  <c r="P107" i="27"/>
  <c r="P121" i="27"/>
  <c r="P90" i="27"/>
  <c r="P122" i="27"/>
  <c r="P98" i="27"/>
  <c r="P105" i="27"/>
  <c r="P125" i="27"/>
  <c r="P28" i="27" s="1"/>
  <c r="P119" i="27"/>
  <c r="AO93" i="12"/>
  <c r="P91" i="27"/>
  <c r="P102" i="27"/>
  <c r="P99" i="27"/>
  <c r="P93" i="27"/>
  <c r="P123" i="27"/>
  <c r="P106" i="27"/>
  <c r="P80" i="27"/>
  <c r="P85" i="27"/>
  <c r="P52" i="27"/>
  <c r="P88" i="27"/>
  <c r="P78" i="27"/>
  <c r="P86" i="27"/>
  <c r="AO67" i="12" s="1"/>
  <c r="P53" i="27"/>
  <c r="P89" i="27"/>
  <c r="AO70" i="12" s="1"/>
  <c r="P79" i="27"/>
  <c r="P51" i="27"/>
  <c r="P87" i="27"/>
  <c r="P54" i="27"/>
  <c r="AK8" i="33"/>
  <c r="K8" i="33" s="1"/>
  <c r="L29" i="32"/>
  <c r="AK11" i="33" s="1"/>
  <c r="P111" i="28"/>
  <c r="BB91" i="12" s="1"/>
  <c r="P110" i="28"/>
  <c r="P103" i="28"/>
  <c r="P141" i="28"/>
  <c r="P117" i="28"/>
  <c r="BB97" i="12" s="1"/>
  <c r="P112" i="28"/>
  <c r="BB92" i="12" s="1"/>
  <c r="P169" i="28"/>
  <c r="P172" i="28"/>
  <c r="P115" i="28"/>
  <c r="BB95" i="12" s="1"/>
  <c r="P167" i="28"/>
  <c r="P116" i="28"/>
  <c r="P170" i="28"/>
  <c r="P165" i="28"/>
  <c r="BB145" i="12" s="1"/>
  <c r="P168" i="28"/>
  <c r="P166" i="28"/>
  <c r="BB146" i="12" s="1"/>
  <c r="P171" i="28"/>
  <c r="P154" i="28"/>
  <c r="P149" i="28"/>
  <c r="P157" i="28"/>
  <c r="P152" i="28"/>
  <c r="P155" i="28"/>
  <c r="P150" i="28"/>
  <c r="P158" i="28"/>
  <c r="P153" i="28"/>
  <c r="P156" i="28"/>
  <c r="P159" i="28"/>
  <c r="P134" i="28"/>
  <c r="P144" i="28"/>
  <c r="P146" i="28"/>
  <c r="P142" i="28"/>
  <c r="P151" i="28"/>
  <c r="P135" i="28"/>
  <c r="P147" i="28"/>
  <c r="BB127" i="12" s="1"/>
  <c r="P143" i="28"/>
  <c r="P129" i="28"/>
  <c r="P132" i="28"/>
  <c r="P127" i="28"/>
  <c r="P130" i="28"/>
  <c r="P128" i="28"/>
  <c r="P131" i="28"/>
  <c r="P122" i="28"/>
  <c r="P121" i="28"/>
  <c r="BB101" i="12" s="1"/>
  <c r="P125" i="28"/>
  <c r="P28" i="28" s="1"/>
  <c r="P119" i="28"/>
  <c r="P90" i="28"/>
  <c r="BB71" i="12" s="1"/>
  <c r="P123" i="28"/>
  <c r="P93" i="28"/>
  <c r="P120" i="28"/>
  <c r="P91" i="28"/>
  <c r="P124" i="28"/>
  <c r="BB104" i="12" s="1"/>
  <c r="P94" i="28"/>
  <c r="P98" i="28"/>
  <c r="P102" i="28"/>
  <c r="P106" i="28"/>
  <c r="BB93" i="12"/>
  <c r="P99" i="28"/>
  <c r="P104" i="28"/>
  <c r="P107" i="28"/>
  <c r="P109" i="28"/>
  <c r="P97" i="28"/>
  <c r="P87" i="28"/>
  <c r="BB68" i="12" s="1"/>
  <c r="P53" i="28"/>
  <c r="P85" i="28"/>
  <c r="P88" i="28"/>
  <c r="P54" i="28"/>
  <c r="P105" i="28"/>
  <c r="P86" i="28"/>
  <c r="BB67" i="12" s="1"/>
  <c r="P52" i="28"/>
  <c r="P89" i="28"/>
  <c r="P78" i="28"/>
  <c r="P100" i="28"/>
  <c r="P79" i="28"/>
  <c r="P80" i="28"/>
  <c r="P139" i="28"/>
  <c r="P140" i="28"/>
  <c r="O101" i="28"/>
  <c r="O160" i="28"/>
  <c r="O55" i="26"/>
  <c r="O148" i="26"/>
  <c r="O173" i="26"/>
  <c r="AV55" i="12"/>
  <c r="I55" i="12" s="1"/>
  <c r="V55" i="33" s="1"/>
  <c r="I55" i="33" s="1"/>
  <c r="J81" i="28"/>
  <c r="BI49" i="12"/>
  <c r="J81" i="29"/>
  <c r="BV49" i="12"/>
  <c r="J81" i="30"/>
  <c r="CL49" i="12"/>
  <c r="M81" i="34"/>
  <c r="CL62" i="12" s="1"/>
  <c r="X37" i="12"/>
  <c r="K37" i="12" s="1"/>
  <c r="X37" i="33" s="1"/>
  <c r="H38" i="12"/>
  <c r="U38" i="33" s="1"/>
  <c r="H38" i="33" s="1"/>
  <c r="V38" i="12"/>
  <c r="J81" i="26"/>
  <c r="M128" i="12"/>
  <c r="Z128" i="33" s="1"/>
  <c r="D101" i="21"/>
  <c r="L24" i="32"/>
  <c r="AK6" i="33" s="1"/>
  <c r="AK5" i="33"/>
  <c r="K5" i="33" s="1"/>
  <c r="L84" i="32"/>
  <c r="AK65" i="33" s="1"/>
  <c r="E159" i="12"/>
  <c r="R159" i="33" s="1"/>
  <c r="F42" i="21"/>
  <c r="AO106" i="33"/>
  <c r="AO10" i="33"/>
  <c r="N145" i="12"/>
  <c r="AA145" i="33" s="1"/>
  <c r="O165" i="12"/>
  <c r="M8" i="12"/>
  <c r="Z8" i="33" s="1"/>
  <c r="N122" i="12"/>
  <c r="AA122" i="33" s="1"/>
  <c r="N123" i="12"/>
  <c r="AA123" i="33" s="1"/>
  <c r="M135" i="12"/>
  <c r="Z135" i="33" s="1"/>
  <c r="M135" i="33" s="1"/>
  <c r="M12" i="12"/>
  <c r="Z12" i="33" s="1"/>
  <c r="N97" i="12"/>
  <c r="AA97" i="33" s="1"/>
  <c r="N97" i="33" s="1"/>
  <c r="N117" i="12"/>
  <c r="AA117" i="33" s="1"/>
  <c r="M139" i="12"/>
  <c r="Z139" i="33" s="1"/>
  <c r="M139" i="33" s="1"/>
  <c r="K41" i="12"/>
  <c r="X41" i="33" s="1"/>
  <c r="L74" i="29"/>
  <c r="BK55" i="12" s="1"/>
  <c r="M114" i="12"/>
  <c r="M84" i="12"/>
  <c r="K50" i="12"/>
  <c r="X50" i="33" s="1"/>
  <c r="M81" i="12"/>
  <c r="Z81" i="33" s="1"/>
  <c r="M81" i="33" s="1"/>
  <c r="L72" i="12"/>
  <c r="Y72" i="33" s="1"/>
  <c r="L72" i="33" s="1"/>
  <c r="CN11" i="12"/>
  <c r="BS159" i="12"/>
  <c r="BS162" i="12" s="1"/>
  <c r="F84" i="21" s="1"/>
  <c r="K42" i="12"/>
  <c r="X42" i="33" s="1"/>
  <c r="K42" i="33" s="1"/>
  <c r="CO105" i="12"/>
  <c r="CM28" i="12"/>
  <c r="N70" i="34"/>
  <c r="CM51" i="12" s="1"/>
  <c r="N57" i="34"/>
  <c r="CM38" i="12" s="1"/>
  <c r="N76" i="34"/>
  <c r="CM57" i="12" s="1"/>
  <c r="N73" i="34"/>
  <c r="CM54" i="12" s="1"/>
  <c r="CN35" i="12"/>
  <c r="CN26" i="12"/>
  <c r="O63" i="34"/>
  <c r="CM31" i="12"/>
  <c r="N58" i="34"/>
  <c r="CM39" i="12" s="1"/>
  <c r="N74" i="34"/>
  <c r="CM55" i="12" s="1"/>
  <c r="N77" i="34"/>
  <c r="CM58" i="12" s="1"/>
  <c r="N71" i="34"/>
  <c r="CM52" i="12" s="1"/>
  <c r="CN23" i="12"/>
  <c r="O60" i="34"/>
  <c r="CM25" i="12"/>
  <c r="N72" i="34"/>
  <c r="CM53" i="12" s="1"/>
  <c r="N75" i="34"/>
  <c r="CM56" i="12" s="1"/>
  <c r="N56" i="34"/>
  <c r="N69" i="34"/>
  <c r="CM50" i="12" s="1"/>
  <c r="CN32" i="12"/>
  <c r="O59" i="34"/>
  <c r="CN40" i="12" s="1"/>
  <c r="CN102" i="12"/>
  <c r="CN106" i="12"/>
  <c r="CN129" i="12"/>
  <c r="CN140" i="12"/>
  <c r="CN24" i="12"/>
  <c r="O61" i="34"/>
  <c r="CN42" i="12" s="1"/>
  <c r="N62" i="34"/>
  <c r="CM43" i="12" s="1"/>
  <c r="CM41" i="12"/>
  <c r="N68" i="34"/>
  <c r="CM47" i="12"/>
  <c r="CN27" i="12"/>
  <c r="O64" i="34"/>
  <c r="CN45" i="12" s="1"/>
  <c r="CN86" i="12"/>
  <c r="CN88" i="12"/>
  <c r="J102" i="12"/>
  <c r="W102" i="33" s="1"/>
  <c r="J102" i="33" s="1"/>
  <c r="CN29" i="12"/>
  <c r="O66" i="34"/>
  <c r="CN148" i="12"/>
  <c r="CN153" i="12"/>
  <c r="CN141" i="12"/>
  <c r="CN144" i="12"/>
  <c r="CM44" i="12"/>
  <c r="N65" i="34"/>
  <c r="CM46" i="12" s="1"/>
  <c r="CN30" i="12"/>
  <c r="O67" i="34"/>
  <c r="CN48" i="12" s="1"/>
  <c r="L25" i="12"/>
  <c r="Y25" i="33" s="1"/>
  <c r="M87" i="12"/>
  <c r="Z87" i="33" s="1"/>
  <c r="M87" i="33" s="1"/>
  <c r="M79" i="12"/>
  <c r="Z79" i="33" s="1"/>
  <c r="M79" i="33" s="1"/>
  <c r="M136" i="12"/>
  <c r="Z136" i="33" s="1"/>
  <c r="M136" i="33" s="1"/>
  <c r="M85" i="12"/>
  <c r="M137" i="12"/>
  <c r="Z137" i="33" s="1"/>
  <c r="M137" i="33" s="1"/>
  <c r="L141" i="12"/>
  <c r="Y141" i="33" s="1"/>
  <c r="L141" i="33" s="1"/>
  <c r="CL37" i="12"/>
  <c r="L77" i="12"/>
  <c r="L105" i="12"/>
  <c r="Y105" i="33" s="1"/>
  <c r="L105" i="33" s="1"/>
  <c r="I46" i="12"/>
  <c r="V46" i="33" s="1"/>
  <c r="I46" i="33" s="1"/>
  <c r="L144" i="12"/>
  <c r="CN74" i="12"/>
  <c r="CN77" i="12"/>
  <c r="CN82" i="12"/>
  <c r="CN78" i="12"/>
  <c r="CN66" i="12"/>
  <c r="CN73" i="12"/>
  <c r="CM36" i="12"/>
  <c r="CO89" i="12"/>
  <c r="CO83" i="12"/>
  <c r="CO100" i="12"/>
  <c r="CO79" i="12"/>
  <c r="CO114" i="12"/>
  <c r="CO84" i="12"/>
  <c r="CO34" i="12"/>
  <c r="CO87" i="12"/>
  <c r="CO85" i="12"/>
  <c r="CO72" i="12"/>
  <c r="CO63" i="12"/>
  <c r="CO152" i="12"/>
  <c r="CO132" i="12"/>
  <c r="CO103" i="12"/>
  <c r="CO149" i="12"/>
  <c r="CO150" i="12"/>
  <c r="CO137" i="12"/>
  <c r="CO151" i="12"/>
  <c r="CO139" i="12"/>
  <c r="CO142" i="12"/>
  <c r="CO143" i="12"/>
  <c r="CO138" i="12"/>
  <c r="CO133" i="12"/>
  <c r="CO136" i="12"/>
  <c r="CO134" i="12"/>
  <c r="CO131" i="12"/>
  <c r="CO135" i="12"/>
  <c r="CO130" i="12"/>
  <c r="CO80" i="12"/>
  <c r="CO81" i="12"/>
  <c r="CO33" i="12"/>
  <c r="CO61" i="12"/>
  <c r="CO60" i="12"/>
  <c r="CO119" i="12"/>
  <c r="CO59" i="12"/>
  <c r="CO120" i="12"/>
  <c r="CO75" i="12"/>
  <c r="M131" i="12"/>
  <c r="Z131" i="33" s="1"/>
  <c r="M131" i="33" s="1"/>
  <c r="N96" i="12"/>
  <c r="AA96" i="33" s="1"/>
  <c r="N96" i="33" s="1"/>
  <c r="N146" i="12"/>
  <c r="AA146" i="33" s="1"/>
  <c r="N104" i="12"/>
  <c r="AA104" i="33" s="1"/>
  <c r="N104" i="33" s="1"/>
  <c r="N121" i="12"/>
  <c r="N71" i="12"/>
  <c r="AA71" i="33" s="1"/>
  <c r="N71" i="33" s="1"/>
  <c r="M60" i="12"/>
  <c r="Z60" i="33" s="1"/>
  <c r="M60" i="33" s="1"/>
  <c r="M151" i="12"/>
  <c r="Z151" i="33" s="1"/>
  <c r="M151" i="33" s="1"/>
  <c r="M100" i="12"/>
  <c r="M63" i="12"/>
  <c r="I39" i="12"/>
  <c r="V39" i="33" s="1"/>
  <c r="I39" i="33" s="1"/>
  <c r="I51" i="12"/>
  <c r="V51" i="33" s="1"/>
  <c r="I51" i="33" s="1"/>
  <c r="I36" i="12"/>
  <c r="I45" i="12"/>
  <c r="V45" i="33" s="1"/>
  <c r="I45" i="33" s="1"/>
  <c r="M118" i="12"/>
  <c r="Z118" i="33" s="1"/>
  <c r="K27" i="12"/>
  <c r="X27" i="33" s="1"/>
  <c r="K27" i="33" s="1"/>
  <c r="I57" i="12"/>
  <c r="V57" i="33" s="1"/>
  <c r="I57" i="33" s="1"/>
  <c r="N127" i="12"/>
  <c r="AA127" i="33" s="1"/>
  <c r="N69" i="12"/>
  <c r="AA69" i="33" s="1"/>
  <c r="N69" i="33" s="1"/>
  <c r="M74" i="12"/>
  <c r="Z74" i="33" s="1"/>
  <c r="M74" i="33" s="1"/>
  <c r="M148" i="12"/>
  <c r="Z148" i="33" s="1"/>
  <c r="M148" i="33" s="1"/>
  <c r="M120" i="12"/>
  <c r="M103" i="12"/>
  <c r="Z103" i="33" s="1"/>
  <c r="M103" i="33" s="1"/>
  <c r="K56" i="12"/>
  <c r="X56" i="33" s="1"/>
  <c r="L82" i="12"/>
  <c r="I52" i="12"/>
  <c r="V52" i="33" s="1"/>
  <c r="I52" i="33" s="1"/>
  <c r="I38" i="12"/>
  <c r="V38" i="33" s="1"/>
  <c r="I38" i="33" s="1"/>
  <c r="K31" i="12"/>
  <c r="X31" i="33" s="1"/>
  <c r="M61" i="12"/>
  <c r="Z61" i="33" s="1"/>
  <c r="M61" i="33" s="1"/>
  <c r="N124" i="12"/>
  <c r="AA124" i="33" s="1"/>
  <c r="N115" i="12"/>
  <c r="AA115" i="33" s="1"/>
  <c r="N67" i="12"/>
  <c r="AA67" i="33" s="1"/>
  <c r="N95" i="12"/>
  <c r="AA95" i="33" s="1"/>
  <c r="N95" i="33" s="1"/>
  <c r="N101" i="12"/>
  <c r="AA101" i="33" s="1"/>
  <c r="N101" i="33" s="1"/>
  <c r="M78" i="12"/>
  <c r="Z78" i="33" s="1"/>
  <c r="M78" i="33" s="1"/>
  <c r="M152" i="12"/>
  <c r="Z152" i="33" s="1"/>
  <c r="M152" i="33" s="1"/>
  <c r="M89" i="12"/>
  <c r="M72" i="12"/>
  <c r="Z72" i="33" s="1"/>
  <c r="M72" i="33" s="1"/>
  <c r="M129" i="12"/>
  <c r="Z129" i="33" s="1"/>
  <c r="M129" i="33" s="1"/>
  <c r="M134" i="12"/>
  <c r="Z134" i="33" s="1"/>
  <c r="M134" i="33" s="1"/>
  <c r="I58" i="12"/>
  <c r="V58" i="33" s="1"/>
  <c r="I58" i="33" s="1"/>
  <c r="I54" i="12"/>
  <c r="V54" i="33" s="1"/>
  <c r="I54" i="33" s="1"/>
  <c r="V31" i="33"/>
  <c r="I31" i="33" s="1"/>
  <c r="G62" i="12"/>
  <c r="T62" i="33" s="1"/>
  <c r="L40" i="12"/>
  <c r="Y40" i="33" s="1"/>
  <c r="L40" i="33" s="1"/>
  <c r="L65" i="12"/>
  <c r="Y87" i="33"/>
  <c r="L87" i="33" s="1"/>
  <c r="N92" i="12"/>
  <c r="AA92" i="33" s="1"/>
  <c r="N68" i="12"/>
  <c r="AA68" i="33" s="1"/>
  <c r="N68" i="33" s="1"/>
  <c r="M7" i="12"/>
  <c r="Z7" i="33" s="1"/>
  <c r="N90" i="12"/>
  <c r="AA90" i="33" s="1"/>
  <c r="N147" i="12"/>
  <c r="AA147" i="33" s="1"/>
  <c r="N147" i="33" s="1"/>
  <c r="N99" i="12"/>
  <c r="M83" i="12"/>
  <c r="M59" i="12"/>
  <c r="Z59" i="33" s="1"/>
  <c r="M59" i="33" s="1"/>
  <c r="M119" i="12"/>
  <c r="L88" i="12"/>
  <c r="L44" i="12"/>
  <c r="Y44" i="33" s="1"/>
  <c r="M80" i="12"/>
  <c r="Z80" i="33" s="1"/>
  <c r="M80" i="33" s="1"/>
  <c r="M133" i="12"/>
  <c r="Z133" i="33" s="1"/>
  <c r="M133" i="33" s="1"/>
  <c r="M75" i="12"/>
  <c r="Z75" i="33" s="1"/>
  <c r="M75" i="33" s="1"/>
  <c r="J28" i="12"/>
  <c r="W28" i="33" s="1"/>
  <c r="J28" i="33" s="1"/>
  <c r="K29" i="12"/>
  <c r="X29" i="33" s="1"/>
  <c r="K29" i="33" s="1"/>
  <c r="K30" i="12"/>
  <c r="X30" i="33" s="1"/>
  <c r="K30" i="33" s="1"/>
  <c r="X25" i="33"/>
  <c r="K16" i="12"/>
  <c r="X16" i="33" s="1"/>
  <c r="L153" i="12"/>
  <c r="K48" i="12"/>
  <c r="X48" i="33" s="1"/>
  <c r="K48" i="33" s="1"/>
  <c r="M33" i="12"/>
  <c r="Z33" i="33" s="1"/>
  <c r="M33" i="33" s="1"/>
  <c r="M9" i="12"/>
  <c r="Z9" i="33" s="1"/>
  <c r="N126" i="12"/>
  <c r="AA126" i="33" s="1"/>
  <c r="N93" i="12"/>
  <c r="AA93" i="33" s="1"/>
  <c r="M125" i="12"/>
  <c r="Z125" i="33" s="1"/>
  <c r="M130" i="12"/>
  <c r="Z130" i="33" s="1"/>
  <c r="M130" i="33" s="1"/>
  <c r="M149" i="12"/>
  <c r="Z149" i="33" s="1"/>
  <c r="M149" i="33" s="1"/>
  <c r="M94" i="12"/>
  <c r="Z94" i="33" s="1"/>
  <c r="M150" i="12"/>
  <c r="Z150" i="33" s="1"/>
  <c r="M150" i="33" s="1"/>
  <c r="L140" i="12"/>
  <c r="I47" i="12"/>
  <c r="V47" i="33" s="1"/>
  <c r="I47" i="33" s="1"/>
  <c r="L24" i="12"/>
  <c r="Y24" i="33" s="1"/>
  <c r="L24" i="33" s="1"/>
  <c r="K43" i="12"/>
  <c r="X43" i="33" s="1"/>
  <c r="M35" i="12"/>
  <c r="Z35" i="33" s="1"/>
  <c r="M35" i="33" s="1"/>
  <c r="M143" i="12"/>
  <c r="Z143" i="33" s="1"/>
  <c r="M143" i="33" s="1"/>
  <c r="M15" i="12"/>
  <c r="Z15" i="33" s="1"/>
  <c r="N116" i="12"/>
  <c r="AA116" i="33" s="1"/>
  <c r="N91" i="12"/>
  <c r="AA91" i="33" s="1"/>
  <c r="M138" i="12"/>
  <c r="Z138" i="33" s="1"/>
  <c r="M138" i="33" s="1"/>
  <c r="M98" i="12"/>
  <c r="M132" i="12"/>
  <c r="Z132" i="33" s="1"/>
  <c r="M132" i="33" s="1"/>
  <c r="K53" i="12"/>
  <c r="X53" i="33" s="1"/>
  <c r="Y26" i="33"/>
  <c r="L42" i="12"/>
  <c r="Y42" i="33" s="1"/>
  <c r="L42" i="33" s="1"/>
  <c r="M34" i="12"/>
  <c r="Z34" i="33" s="1"/>
  <c r="M34" i="33" s="1"/>
  <c r="M142" i="12"/>
  <c r="Z142" i="33" s="1"/>
  <c r="M142" i="33" s="1"/>
  <c r="U10" i="33"/>
  <c r="H10" i="33" s="1"/>
  <c r="K109" i="12"/>
  <c r="X109" i="33" s="1"/>
  <c r="K109" i="33" s="1"/>
  <c r="K111" i="12"/>
  <c r="X111" i="33" s="1"/>
  <c r="K111" i="33" s="1"/>
  <c r="M117" i="12"/>
  <c r="Z117" i="33" s="1"/>
  <c r="G11" i="12"/>
  <c r="T11" i="33" s="1"/>
  <c r="L32" i="12"/>
  <c r="Y32" i="33" s="1"/>
  <c r="L32" i="33" s="1"/>
  <c r="K112" i="12"/>
  <c r="X112" i="33" s="1"/>
  <c r="K112" i="33" s="1"/>
  <c r="G62" i="21"/>
  <c r="L176" i="34"/>
  <c r="CK113" i="12"/>
  <c r="K110" i="12"/>
  <c r="X110" i="33" s="1"/>
  <c r="K110" i="33" s="1"/>
  <c r="K108" i="12"/>
  <c r="X108" i="33" s="1"/>
  <c r="K108" i="33" s="1"/>
  <c r="K107" i="12"/>
  <c r="X107" i="33" s="1"/>
  <c r="K107" i="33" s="1"/>
  <c r="F156" i="12"/>
  <c r="F157" i="12" s="1"/>
  <c r="K64" i="12"/>
  <c r="J113" i="12"/>
  <c r="K177" i="34"/>
  <c r="CJ157" i="12" s="1"/>
  <c r="J94" i="21" s="1"/>
  <c r="CJ156" i="12"/>
  <c r="J76" i="21" s="1"/>
  <c r="CL64" i="12"/>
  <c r="BZ107" i="12"/>
  <c r="CM64" i="12"/>
  <c r="I39" i="28"/>
  <c r="AU21" i="12" s="1"/>
  <c r="H54" i="21" s="1"/>
  <c r="H45" i="21" s="1"/>
  <c r="W10" i="12"/>
  <c r="L39" i="30"/>
  <c r="BX21" i="12" s="1"/>
  <c r="K56" i="21" s="1"/>
  <c r="K47" i="21" s="1"/>
  <c r="AJ106" i="12"/>
  <c r="L39" i="29"/>
  <c r="BK21" i="12" s="1"/>
  <c r="M165" i="33"/>
  <c r="M166" i="33" s="1"/>
  <c r="N38" i="32"/>
  <c r="AM17" i="33"/>
  <c r="M17" i="33" s="1"/>
  <c r="M38" i="32"/>
  <c r="AL17" i="33"/>
  <c r="L17" i="33" s="1"/>
  <c r="W64" i="33"/>
  <c r="J64" i="33" s="1"/>
  <c r="Z99" i="33"/>
  <c r="M99" i="33" s="1"/>
  <c r="Z121" i="33"/>
  <c r="M121" i="33" s="1"/>
  <c r="Y84" i="33"/>
  <c r="L84" i="33" s="1"/>
  <c r="Y89" i="33"/>
  <c r="L89" i="33" s="1"/>
  <c r="X77" i="33"/>
  <c r="K77" i="33" s="1"/>
  <c r="Y114" i="33"/>
  <c r="L114" i="33" s="1"/>
  <c r="Y83" i="33"/>
  <c r="L83" i="33" s="1"/>
  <c r="AK94" i="33"/>
  <c r="K94" i="33" s="1"/>
  <c r="AM90" i="33"/>
  <c r="M90" i="33" s="1"/>
  <c r="AM117" i="33"/>
  <c r="AM116" i="33"/>
  <c r="M116" i="33" s="1"/>
  <c r="AM110" i="33"/>
  <c r="AM145" i="33"/>
  <c r="M145" i="33" s="1"/>
  <c r="AM123" i="33"/>
  <c r="M123" i="33" s="1"/>
  <c r="AM109" i="33"/>
  <c r="AM146" i="33"/>
  <c r="M146" i="33" s="1"/>
  <c r="AM124" i="33"/>
  <c r="M124" i="33" s="1"/>
  <c r="AL92" i="33"/>
  <c r="L92" i="33" s="1"/>
  <c r="AL117" i="33"/>
  <c r="L117" i="33" s="1"/>
  <c r="AL111" i="33"/>
  <c r="AL107" i="33"/>
  <c r="AL127" i="33"/>
  <c r="L127" i="33" s="1"/>
  <c r="AL122" i="33"/>
  <c r="L122" i="33" s="1"/>
  <c r="AL110" i="33"/>
  <c r="AL145" i="33"/>
  <c r="L145" i="33" s="1"/>
  <c r="AL123" i="33"/>
  <c r="L123" i="33" s="1"/>
  <c r="X88" i="33"/>
  <c r="K88" i="33" s="1"/>
  <c r="AK118" i="33"/>
  <c r="K118" i="33" s="1"/>
  <c r="AW11" i="12"/>
  <c r="AW10" i="12"/>
  <c r="Y98" i="33"/>
  <c r="L98" i="33" s="1"/>
  <c r="V106" i="33"/>
  <c r="I106" i="33" s="1"/>
  <c r="X144" i="33"/>
  <c r="K144" i="33" s="1"/>
  <c r="U113" i="33"/>
  <c r="H113" i="33" s="1"/>
  <c r="X140" i="33"/>
  <c r="K140" i="33" s="1"/>
  <c r="Y85" i="33"/>
  <c r="L85" i="33" s="1"/>
  <c r="Y63" i="33"/>
  <c r="L63" i="33" s="1"/>
  <c r="AM91" i="33"/>
  <c r="M91" i="33" s="1"/>
  <c r="AM92" i="33"/>
  <c r="M92" i="33" s="1"/>
  <c r="AM115" i="33"/>
  <c r="M115" i="33" s="1"/>
  <c r="AM112" i="33"/>
  <c r="AM108" i="33"/>
  <c r="AM126" i="33"/>
  <c r="M126" i="33" s="1"/>
  <c r="AM111" i="33"/>
  <c r="AM107" i="33"/>
  <c r="AM127" i="33"/>
  <c r="M127" i="33" s="1"/>
  <c r="AM122" i="33"/>
  <c r="M122" i="33" s="1"/>
  <c r="AL90" i="33"/>
  <c r="L90" i="33" s="1"/>
  <c r="AL91" i="33"/>
  <c r="L91" i="33" s="1"/>
  <c r="AL116" i="33"/>
  <c r="L116" i="33" s="1"/>
  <c r="AL115" i="33"/>
  <c r="L115" i="33" s="1"/>
  <c r="AL109" i="33"/>
  <c r="AL146" i="33"/>
  <c r="L146" i="33" s="1"/>
  <c r="AL124" i="33"/>
  <c r="L124" i="33" s="1"/>
  <c r="AL112" i="33"/>
  <c r="AL108" i="33"/>
  <c r="AL126" i="33"/>
  <c r="L126" i="33" s="1"/>
  <c r="AK125" i="33"/>
  <c r="K125" i="33" s="1"/>
  <c r="M39" i="30"/>
  <c r="BY21" i="12" s="1"/>
  <c r="L56" i="21" s="1"/>
  <c r="L47" i="21" s="1"/>
  <c r="BY10" i="12"/>
  <c r="BL11" i="12"/>
  <c r="BL10" i="12"/>
  <c r="AK20" i="33"/>
  <c r="K20" i="33" s="1"/>
  <c r="L71" i="26"/>
  <c r="X52" i="12" s="1"/>
  <c r="Y16" i="12"/>
  <c r="CA16" i="12"/>
  <c r="W16" i="33"/>
  <c r="X65" i="33"/>
  <c r="AJ16" i="33"/>
  <c r="K39" i="32"/>
  <c r="AJ21" i="33" s="1"/>
  <c r="BM16" i="12"/>
  <c r="AI11" i="12"/>
  <c r="J39" i="27"/>
  <c r="AI21" i="12" s="1"/>
  <c r="AY16" i="12"/>
  <c r="X6" i="33"/>
  <c r="L34" i="32"/>
  <c r="AK15" i="33"/>
  <c r="K15" i="33" s="1"/>
  <c r="AL16" i="12"/>
  <c r="V11" i="12"/>
  <c r="J39" i="26"/>
  <c r="V21" i="12" s="1"/>
  <c r="I52" i="21" s="1"/>
  <c r="U11" i="12"/>
  <c r="I39" i="26"/>
  <c r="U21" i="12" s="1"/>
  <c r="Y119" i="33"/>
  <c r="L119" i="33" s="1"/>
  <c r="X82" i="33"/>
  <c r="K82" i="33" s="1"/>
  <c r="Y120" i="33"/>
  <c r="L120" i="33" s="1"/>
  <c r="U36" i="33"/>
  <c r="H36" i="33" s="1"/>
  <c r="H12" i="21" s="1"/>
  <c r="Z73" i="12"/>
  <c r="L74" i="30"/>
  <c r="BX55" i="12" s="1"/>
  <c r="K73" i="33"/>
  <c r="Z64" i="12"/>
  <c r="L71" i="29"/>
  <c r="BK52" i="12" s="1"/>
  <c r="AW106" i="12"/>
  <c r="L74" i="27"/>
  <c r="AK55" i="12" s="1"/>
  <c r="V10" i="33"/>
  <c r="I10" i="33" s="1"/>
  <c r="Y7" i="33"/>
  <c r="BM109" i="12"/>
  <c r="AZ110" i="12"/>
  <c r="L71" i="28"/>
  <c r="AX52" i="12" s="1"/>
  <c r="M62" i="26"/>
  <c r="Y43" i="12" s="1"/>
  <c r="L68" i="27"/>
  <c r="Z144" i="12"/>
  <c r="AM144" i="12"/>
  <c r="L77" i="28"/>
  <c r="AX58" i="12" s="1"/>
  <c r="L77" i="30"/>
  <c r="BX58" i="12" s="1"/>
  <c r="L74" i="26"/>
  <c r="X55" i="12" s="1"/>
  <c r="BM111" i="12"/>
  <c r="BM112" i="12"/>
  <c r="BZ108" i="12"/>
  <c r="L77" i="29"/>
  <c r="BK58" i="12" s="1"/>
  <c r="L58" i="29"/>
  <c r="BK39" i="12" s="1"/>
  <c r="L77" i="26"/>
  <c r="X58" i="12" s="1"/>
  <c r="L58" i="26"/>
  <c r="X39" i="12" s="1"/>
  <c r="L71" i="27"/>
  <c r="AK52" i="12" s="1"/>
  <c r="H177" i="27"/>
  <c r="P185" i="27"/>
  <c r="BO126" i="12"/>
  <c r="BM88" i="12"/>
  <c r="BM86" i="12"/>
  <c r="M86" i="12" s="1"/>
  <c r="AX106" i="12"/>
  <c r="AX102" i="12"/>
  <c r="BX106" i="12"/>
  <c r="BX102" i="12"/>
  <c r="N92" i="32"/>
  <c r="AM73" i="33" s="1"/>
  <c r="M67" i="33"/>
  <c r="M92" i="32"/>
  <c r="AL73" i="33" s="1"/>
  <c r="L67" i="33"/>
  <c r="K128" i="33"/>
  <c r="AA143" i="12"/>
  <c r="AA35" i="12"/>
  <c r="AA34" i="12"/>
  <c r="AN34" i="12"/>
  <c r="BA35" i="12"/>
  <c r="BA33" i="12"/>
  <c r="BM141" i="12"/>
  <c r="BM144" i="12"/>
  <c r="AN142" i="12"/>
  <c r="BA142" i="12"/>
  <c r="P185" i="28"/>
  <c r="I177" i="32"/>
  <c r="AH157" i="33" s="1"/>
  <c r="H88" i="21" s="1"/>
  <c r="H106" i="21" s="1"/>
  <c r="N34" i="28"/>
  <c r="BA24" i="12"/>
  <c r="CA142" i="12"/>
  <c r="CA143" i="12"/>
  <c r="CA34" i="12"/>
  <c r="CA33" i="12"/>
  <c r="CA35" i="12"/>
  <c r="BN34" i="12"/>
  <c r="BN33" i="12"/>
  <c r="BN35" i="12"/>
  <c r="BN142" i="12"/>
  <c r="BN143" i="12"/>
  <c r="AZ73" i="12"/>
  <c r="AZ66" i="12"/>
  <c r="BK106" i="12"/>
  <c r="BK102" i="12"/>
  <c r="AK106" i="12"/>
  <c r="AK102" i="12"/>
  <c r="AA141" i="12"/>
  <c r="AA142" i="12"/>
  <c r="AA33" i="12"/>
  <c r="AN33" i="12"/>
  <c r="AZ144" i="12"/>
  <c r="BA34" i="12"/>
  <c r="AN35" i="12"/>
  <c r="BZ141" i="12"/>
  <c r="BZ144" i="12"/>
  <c r="AN143" i="12"/>
  <c r="BA143" i="12"/>
  <c r="Z65" i="12"/>
  <c r="X106" i="12"/>
  <c r="X102" i="12"/>
  <c r="T157" i="12"/>
  <c r="G89" i="21" s="1"/>
  <c r="G107" i="21" s="1"/>
  <c r="T21" i="33"/>
  <c r="G52" i="21"/>
  <c r="G43" i="21" s="1"/>
  <c r="H177" i="26"/>
  <c r="H177" i="29"/>
  <c r="O61" i="27"/>
  <c r="AN42" i="12" s="1"/>
  <c r="AN24" i="12"/>
  <c r="M62" i="27"/>
  <c r="AL43" i="12" s="1"/>
  <c r="AL41" i="12"/>
  <c r="N60" i="27"/>
  <c r="AM41" i="12" s="1"/>
  <c r="AM23" i="12"/>
  <c r="K68" i="27"/>
  <c r="AJ47" i="12"/>
  <c r="AH62" i="12"/>
  <c r="I176" i="27"/>
  <c r="AH156" i="12" s="1"/>
  <c r="K65" i="27"/>
  <c r="AJ46" i="12" s="1"/>
  <c r="AJ45" i="12"/>
  <c r="M67" i="27"/>
  <c r="AL48" i="12" s="1"/>
  <c r="AL30" i="12"/>
  <c r="Y73" i="12"/>
  <c r="N59" i="26"/>
  <c r="Z40" i="12" s="1"/>
  <c r="Z32" i="12"/>
  <c r="K65" i="26"/>
  <c r="W46" i="12" s="1"/>
  <c r="W45" i="12"/>
  <c r="K68" i="26"/>
  <c r="W49" i="12" s="1"/>
  <c r="W47" i="12"/>
  <c r="M67" i="26"/>
  <c r="Y48" i="12" s="1"/>
  <c r="Y30" i="12"/>
  <c r="L68" i="26"/>
  <c r="X49" i="12" s="1"/>
  <c r="N61" i="26"/>
  <c r="Z42" i="12" s="1"/>
  <c r="Z24" i="12"/>
  <c r="U62" i="12"/>
  <c r="I176" i="26"/>
  <c r="U156" i="12" s="1"/>
  <c r="H71" i="21" s="1"/>
  <c r="O63" i="28"/>
  <c r="BA44" i="12" s="1"/>
  <c r="BA26" i="12"/>
  <c r="M62" i="28"/>
  <c r="AY43" i="12" s="1"/>
  <c r="AY41" i="12"/>
  <c r="K65" i="28"/>
  <c r="AW46" i="12" s="1"/>
  <c r="AW45" i="12"/>
  <c r="K68" i="28"/>
  <c r="AW49" i="12" s="1"/>
  <c r="AW47" i="12"/>
  <c r="AU62" i="12"/>
  <c r="I176" i="28"/>
  <c r="M67" i="28"/>
  <c r="AY48" i="12" s="1"/>
  <c r="AY30" i="12"/>
  <c r="L68" i="28"/>
  <c r="AX49" i="12" s="1"/>
  <c r="AX47" i="12"/>
  <c r="K47" i="12" s="1"/>
  <c r="AT156" i="12"/>
  <c r="H177" i="28"/>
  <c r="L71" i="30"/>
  <c r="BX52" i="12" s="1"/>
  <c r="L58" i="30"/>
  <c r="BX39" i="12" s="1"/>
  <c r="M62" i="30"/>
  <c r="BY43" i="12" s="1"/>
  <c r="BY41" i="12"/>
  <c r="K68" i="30"/>
  <c r="BW47" i="12"/>
  <c r="L68" i="29"/>
  <c r="N61" i="30"/>
  <c r="BZ42" i="12" s="1"/>
  <c r="BZ24" i="12"/>
  <c r="K65" i="30"/>
  <c r="BW46" i="12" s="1"/>
  <c r="BW45" i="12"/>
  <c r="BW36" i="12"/>
  <c r="BW31" i="12"/>
  <c r="J31" i="12" s="1"/>
  <c r="M67" i="30"/>
  <c r="BY48" i="12" s="1"/>
  <c r="BY30" i="12"/>
  <c r="BU62" i="12"/>
  <c r="I176" i="30"/>
  <c r="BU156" i="12" s="1"/>
  <c r="L68" i="30"/>
  <c r="K65" i="29"/>
  <c r="BJ46" i="12" s="1"/>
  <c r="BJ45" i="12"/>
  <c r="M67" i="29"/>
  <c r="BL48" i="12" s="1"/>
  <c r="BL30" i="12"/>
  <c r="BH62" i="12"/>
  <c r="I176" i="29"/>
  <c r="M62" i="29"/>
  <c r="BL43" i="12" s="1"/>
  <c r="BL41" i="12"/>
  <c r="N61" i="29"/>
  <c r="BM42" i="12" s="1"/>
  <c r="BM24" i="12"/>
  <c r="N63" i="29"/>
  <c r="BM44" i="12" s="1"/>
  <c r="BM26" i="12"/>
  <c r="K68" i="29"/>
  <c r="BJ47" i="12"/>
  <c r="E87" i="21"/>
  <c r="E105" i="21" s="1"/>
  <c r="AG157" i="12"/>
  <c r="G90" i="21" s="1"/>
  <c r="G108" i="21" s="1"/>
  <c r="G53" i="21"/>
  <c r="G44" i="21" s="1"/>
  <c r="BM105" i="12"/>
  <c r="BZ105" i="12"/>
  <c r="BG157" i="12"/>
  <c r="G92" i="21" s="1"/>
  <c r="G110" i="21" s="1"/>
  <c r="G55" i="21"/>
  <c r="G46" i="21" s="1"/>
  <c r="H55" i="21"/>
  <c r="H46" i="21" s="1"/>
  <c r="I55" i="21"/>
  <c r="I46" i="21" s="1"/>
  <c r="P185" i="26"/>
  <c r="W36" i="12"/>
  <c r="L100" i="33"/>
  <c r="N138" i="32"/>
  <c r="AM118" i="33" s="1"/>
  <c r="N114" i="32"/>
  <c r="AM94" i="33" s="1"/>
  <c r="N173" i="32"/>
  <c r="AM153" i="33" s="1"/>
  <c r="M133" i="32"/>
  <c r="AL113" i="33" s="1"/>
  <c r="M145" i="32"/>
  <c r="M173" i="32"/>
  <c r="AL153" i="33" s="1"/>
  <c r="N133" i="32"/>
  <c r="AM113" i="33" s="1"/>
  <c r="N148" i="32"/>
  <c r="AM128" i="33" s="1"/>
  <c r="N145" i="32"/>
  <c r="AM125" i="33" s="1"/>
  <c r="M114" i="32"/>
  <c r="M138" i="32"/>
  <c r="M148" i="32"/>
  <c r="N59" i="30"/>
  <c r="BZ40" i="12" s="1"/>
  <c r="N59" i="28"/>
  <c r="AZ40" i="12" s="1"/>
  <c r="AW36" i="12"/>
  <c r="L74" i="28"/>
  <c r="L58" i="28"/>
  <c r="AX39" i="12" s="1"/>
  <c r="BJ36" i="12"/>
  <c r="N59" i="29"/>
  <c r="BM40" i="12" s="1"/>
  <c r="N59" i="27"/>
  <c r="AM40" i="12" s="1"/>
  <c r="AJ36" i="12"/>
  <c r="AF159" i="12"/>
  <c r="AF162" i="12" s="1"/>
  <c r="P64" i="32"/>
  <c r="AO45" i="33" s="1"/>
  <c r="AM73" i="12"/>
  <c r="BZ88" i="12"/>
  <c r="AM88" i="12"/>
  <c r="L58" i="27"/>
  <c r="AK39" i="12" s="1"/>
  <c r="L77" i="27"/>
  <c r="AK58" i="12" s="1"/>
  <c r="AS159" i="12"/>
  <c r="AY29" i="12"/>
  <c r="BY29" i="12"/>
  <c r="AL29" i="12"/>
  <c r="BL29" i="12"/>
  <c r="Y29" i="12"/>
  <c r="AL27" i="12"/>
  <c r="BY27" i="12"/>
  <c r="BL27" i="12"/>
  <c r="Y27" i="12"/>
  <c r="AY27" i="12"/>
  <c r="K77" i="30"/>
  <c r="BW58" i="12" s="1"/>
  <c r="K74" i="30"/>
  <c r="BW55" i="12" s="1"/>
  <c r="K71" i="30"/>
  <c r="BW52" i="12" s="1"/>
  <c r="K58" i="30"/>
  <c r="BW39" i="12" s="1"/>
  <c r="K71" i="27"/>
  <c r="AJ52" i="12" s="1"/>
  <c r="K77" i="27"/>
  <c r="AJ58" i="12" s="1"/>
  <c r="K58" i="27"/>
  <c r="AJ39" i="12" s="1"/>
  <c r="K74" i="27"/>
  <c r="AJ55" i="12" s="1"/>
  <c r="F62" i="33"/>
  <c r="L64" i="27"/>
  <c r="AK28" i="12"/>
  <c r="L64" i="30"/>
  <c r="E157" i="33"/>
  <c r="E11" i="21"/>
  <c r="AM10" i="12"/>
  <c r="Z77" i="12"/>
  <c r="Z153" i="12"/>
  <c r="AM77" i="12"/>
  <c r="AM140" i="12"/>
  <c r="K76" i="30"/>
  <c r="BW57" i="12" s="1"/>
  <c r="K57" i="30"/>
  <c r="BW38" i="12" s="1"/>
  <c r="K70" i="30"/>
  <c r="BW51" i="12" s="1"/>
  <c r="K73" i="30"/>
  <c r="BW54" i="12" s="1"/>
  <c r="K73" i="29"/>
  <c r="BJ54" i="12" s="1"/>
  <c r="K70" i="29"/>
  <c r="BJ51" i="12" s="1"/>
  <c r="K57" i="29"/>
  <c r="BJ38" i="12" s="1"/>
  <c r="K76" i="29"/>
  <c r="BJ57" i="12" s="1"/>
  <c r="K76" i="27"/>
  <c r="AJ57" i="12" s="1"/>
  <c r="K73" i="27"/>
  <c r="AJ54" i="12" s="1"/>
  <c r="K70" i="27"/>
  <c r="AJ51" i="12" s="1"/>
  <c r="K57" i="27"/>
  <c r="AJ38" i="12" s="1"/>
  <c r="L64" i="29"/>
  <c r="L64" i="28"/>
  <c r="L64" i="26"/>
  <c r="K73" i="28"/>
  <c r="AW54" i="12" s="1"/>
  <c r="K76" i="28"/>
  <c r="AW57" i="12" s="1"/>
  <c r="K57" i="28"/>
  <c r="AW38" i="12" s="1"/>
  <c r="K70" i="28"/>
  <c r="AW51" i="12" s="1"/>
  <c r="K70" i="26"/>
  <c r="W51" i="12" s="1"/>
  <c r="K73" i="26"/>
  <c r="W54" i="12" s="1"/>
  <c r="K76" i="26"/>
  <c r="W57" i="12" s="1"/>
  <c r="K57" i="26"/>
  <c r="K74" i="26"/>
  <c r="W55" i="12" s="1"/>
  <c r="K77" i="26"/>
  <c r="W58" i="12" s="1"/>
  <c r="K58" i="26"/>
  <c r="W39" i="12" s="1"/>
  <c r="K71" i="26"/>
  <c r="W52" i="12" s="1"/>
  <c r="K58" i="28"/>
  <c r="AW39" i="12" s="1"/>
  <c r="K74" i="28"/>
  <c r="K71" i="28"/>
  <c r="AW52" i="12" s="1"/>
  <c r="K77" i="28"/>
  <c r="AW58" i="12" s="1"/>
  <c r="K77" i="29"/>
  <c r="BJ58" i="12" s="1"/>
  <c r="K74" i="29"/>
  <c r="BJ55" i="12" s="1"/>
  <c r="K71" i="29"/>
  <c r="BJ52" i="12" s="1"/>
  <c r="K58" i="29"/>
  <c r="BJ39" i="12" s="1"/>
  <c r="AM153" i="12"/>
  <c r="AZ153" i="12"/>
  <c r="BZ77" i="12"/>
  <c r="BM77" i="12"/>
  <c r="BK113" i="12"/>
  <c r="AN131" i="12"/>
  <c r="AN79" i="12"/>
  <c r="AN114" i="12"/>
  <c r="AN81" i="12"/>
  <c r="AN60" i="12"/>
  <c r="AN85" i="12"/>
  <c r="AN32" i="12"/>
  <c r="BA132" i="12"/>
  <c r="BA152" i="12"/>
  <c r="BA137" i="12"/>
  <c r="BA63" i="12"/>
  <c r="BA72" i="12"/>
  <c r="BA130" i="12"/>
  <c r="BA129" i="12"/>
  <c r="BA120" i="12"/>
  <c r="BA114" i="12"/>
  <c r="BA100" i="12"/>
  <c r="BA84" i="12"/>
  <c r="AN150" i="12"/>
  <c r="AN136" i="12"/>
  <c r="AN63" i="12"/>
  <c r="AN61" i="12"/>
  <c r="BA79" i="12"/>
  <c r="BA138" i="12"/>
  <c r="BA83" i="12"/>
  <c r="BA60" i="12"/>
  <c r="BA149" i="12"/>
  <c r="BA133" i="12"/>
  <c r="BA81" i="12"/>
  <c r="BA103" i="12"/>
  <c r="BA89" i="12"/>
  <c r="BA78" i="12"/>
  <c r="BA61" i="12"/>
  <c r="AN151" i="12"/>
  <c r="AN135" i="12"/>
  <c r="AN133" i="12"/>
  <c r="AN132" i="12"/>
  <c r="AN129" i="12"/>
  <c r="AN120" i="12"/>
  <c r="AN100" i="12"/>
  <c r="AN89" i="12"/>
  <c r="AN80" i="12"/>
  <c r="AN72" i="12"/>
  <c r="BA150" i="12"/>
  <c r="BA136" i="12"/>
  <c r="BA87" i="12"/>
  <c r="BA148" i="12"/>
  <c r="BA134" i="12"/>
  <c r="BA119" i="12"/>
  <c r="BA151" i="12"/>
  <c r="BA139" i="12"/>
  <c r="BA135" i="12"/>
  <c r="BA131" i="12"/>
  <c r="BA85" i="12"/>
  <c r="BA74" i="12"/>
  <c r="BA32" i="12"/>
  <c r="BA105" i="12"/>
  <c r="BA86" i="12"/>
  <c r="BA80" i="12"/>
  <c r="BA75" i="12"/>
  <c r="BA66" i="12"/>
  <c r="BA59" i="12"/>
  <c r="AN139" i="12"/>
  <c r="AN149" i="12"/>
  <c r="AN137" i="12"/>
  <c r="AN119" i="12"/>
  <c r="AN103" i="12"/>
  <c r="AN86" i="12"/>
  <c r="AN75" i="12"/>
  <c r="AN152" i="12"/>
  <c r="AN148" i="12"/>
  <c r="AN138" i="12"/>
  <c r="AN134" i="12"/>
  <c r="AN130" i="12"/>
  <c r="AN105" i="12"/>
  <c r="AN84" i="12"/>
  <c r="AN87" i="12"/>
  <c r="AN83" i="12"/>
  <c r="AN74" i="12"/>
  <c r="AN59" i="12"/>
  <c r="AN23" i="12"/>
  <c r="AA94" i="12"/>
  <c r="D98" i="21"/>
  <c r="R162" i="12"/>
  <c r="Z6" i="12"/>
  <c r="BA125" i="12"/>
  <c r="O60" i="26"/>
  <c r="AA41" i="12" s="1"/>
  <c r="AL111" i="12"/>
  <c r="BL111" i="12"/>
  <c r="Y111" i="12"/>
  <c r="AY111" i="12"/>
  <c r="BY111" i="12"/>
  <c r="AL112" i="12"/>
  <c r="Y112" i="12"/>
  <c r="AY112" i="12"/>
  <c r="BY112" i="12"/>
  <c r="BL112" i="12"/>
  <c r="AL108" i="12"/>
  <c r="AY108" i="12"/>
  <c r="BY108" i="12"/>
  <c r="BL108" i="12"/>
  <c r="Y108" i="12"/>
  <c r="AN125" i="12"/>
  <c r="BO118" i="12"/>
  <c r="CA61" i="12"/>
  <c r="CA66" i="12"/>
  <c r="CA74" i="12"/>
  <c r="CA60" i="12"/>
  <c r="CA81" i="12"/>
  <c r="CA86" i="12"/>
  <c r="CA119" i="12"/>
  <c r="CA130" i="12"/>
  <c r="CA134" i="12"/>
  <c r="CA138" i="12"/>
  <c r="CA148" i="12"/>
  <c r="CA152" i="12"/>
  <c r="CA63" i="12"/>
  <c r="CA78" i="12"/>
  <c r="CA83" i="12"/>
  <c r="CA87" i="12"/>
  <c r="CA114" i="12"/>
  <c r="CA129" i="12"/>
  <c r="CA137" i="12"/>
  <c r="CA151" i="12"/>
  <c r="CA131" i="12"/>
  <c r="CA139" i="12"/>
  <c r="CA23" i="12"/>
  <c r="CA59" i="12"/>
  <c r="CA72" i="12"/>
  <c r="CA26" i="12"/>
  <c r="CA84" i="12"/>
  <c r="CA136" i="12"/>
  <c r="CA150" i="12"/>
  <c r="CA80" i="12"/>
  <c r="CA89" i="12"/>
  <c r="CA100" i="12"/>
  <c r="CA120" i="12"/>
  <c r="CA149" i="12"/>
  <c r="CA32" i="12"/>
  <c r="CA79" i="12"/>
  <c r="CA103" i="12"/>
  <c r="CA132" i="12"/>
  <c r="CA75" i="12"/>
  <c r="CA85" i="12"/>
  <c r="CA133" i="12"/>
  <c r="CA135" i="12"/>
  <c r="BN61" i="12"/>
  <c r="BN66" i="12"/>
  <c r="BN75" i="12"/>
  <c r="BN80" i="12"/>
  <c r="BN86" i="12"/>
  <c r="BN131" i="12"/>
  <c r="BN135" i="12"/>
  <c r="BN139" i="12"/>
  <c r="BN151" i="12"/>
  <c r="BN63" i="12"/>
  <c r="BN81" i="12"/>
  <c r="BN87" i="12"/>
  <c r="BN130" i="12"/>
  <c r="BN138" i="12"/>
  <c r="BN152" i="12"/>
  <c r="BN26" i="12"/>
  <c r="BN60" i="12"/>
  <c r="BN79" i="12"/>
  <c r="BN119" i="12"/>
  <c r="BN132" i="12"/>
  <c r="BN32" i="12"/>
  <c r="BN59" i="12"/>
  <c r="BN72" i="12"/>
  <c r="BN78" i="12"/>
  <c r="BN84" i="12"/>
  <c r="BN100" i="12"/>
  <c r="BN120" i="12"/>
  <c r="BN129" i="12"/>
  <c r="BN133" i="12"/>
  <c r="BN137" i="12"/>
  <c r="BN149" i="12"/>
  <c r="BN83" i="12"/>
  <c r="BN89" i="12"/>
  <c r="BN114" i="12"/>
  <c r="BN134" i="12"/>
  <c r="BN148" i="12"/>
  <c r="BN23" i="12"/>
  <c r="BN85" i="12"/>
  <c r="BN103" i="12"/>
  <c r="BN136" i="12"/>
  <c r="BN150" i="12"/>
  <c r="AA150" i="12"/>
  <c r="AA137" i="12"/>
  <c r="AA129" i="12"/>
  <c r="AA114" i="12"/>
  <c r="AA83" i="12"/>
  <c r="AA66" i="12"/>
  <c r="AA26" i="12"/>
  <c r="AA148" i="12"/>
  <c r="AA135" i="12"/>
  <c r="AA98" i="12"/>
  <c r="AA85" i="12"/>
  <c r="AA74" i="12"/>
  <c r="AA60" i="12"/>
  <c r="AA151" i="12"/>
  <c r="AA138" i="12"/>
  <c r="AA134" i="12"/>
  <c r="AA130" i="12"/>
  <c r="AA119" i="12"/>
  <c r="AA105" i="12"/>
  <c r="AA86" i="12"/>
  <c r="AA81" i="12"/>
  <c r="AA75" i="12"/>
  <c r="AA61" i="12"/>
  <c r="M56" i="26"/>
  <c r="M72" i="26"/>
  <c r="Y53" i="12" s="1"/>
  <c r="M69" i="26"/>
  <c r="Y50" i="12" s="1"/>
  <c r="M75" i="26"/>
  <c r="Y56" i="12" s="1"/>
  <c r="Z112" i="12"/>
  <c r="Z107" i="12"/>
  <c r="AM108" i="12"/>
  <c r="AM64" i="12"/>
  <c r="AM109" i="12"/>
  <c r="AZ108" i="12"/>
  <c r="N63" i="28"/>
  <c r="AZ44" i="12" s="1"/>
  <c r="AZ107" i="12"/>
  <c r="BZ111" i="12"/>
  <c r="BZ112" i="12"/>
  <c r="BZ153" i="12"/>
  <c r="BZ140" i="12"/>
  <c r="N63" i="30"/>
  <c r="BZ44" i="12" s="1"/>
  <c r="BM108" i="12"/>
  <c r="BM107" i="12"/>
  <c r="BM25" i="12"/>
  <c r="N60" i="29"/>
  <c r="AX113" i="12"/>
  <c r="AK113" i="12"/>
  <c r="Z110" i="12"/>
  <c r="Z111" i="12"/>
  <c r="Z88" i="12"/>
  <c r="AM111" i="12"/>
  <c r="AZ111" i="12"/>
  <c r="AZ109" i="12"/>
  <c r="AL109" i="12"/>
  <c r="AY109" i="12"/>
  <c r="BY109" i="12"/>
  <c r="BL109" i="12"/>
  <c r="Y109" i="12"/>
  <c r="AY107" i="12"/>
  <c r="BY107" i="12"/>
  <c r="AL107" i="12"/>
  <c r="BL107" i="12"/>
  <c r="Y107" i="12"/>
  <c r="AL110" i="12"/>
  <c r="BY110" i="12"/>
  <c r="BL110" i="12"/>
  <c r="Y110" i="12"/>
  <c r="AY110" i="12"/>
  <c r="AY64" i="12"/>
  <c r="AL64" i="12"/>
  <c r="BY64" i="12"/>
  <c r="BL64" i="12"/>
  <c r="Y64" i="12"/>
  <c r="AA133" i="12"/>
  <c r="AA120" i="12"/>
  <c r="AA87" i="12"/>
  <c r="AA78" i="12"/>
  <c r="AA152" i="12"/>
  <c r="AA139" i="12"/>
  <c r="AA131" i="12"/>
  <c r="AA100" i="12"/>
  <c r="AA80" i="12"/>
  <c r="AA72" i="12"/>
  <c r="AA149" i="12"/>
  <c r="AA136" i="12"/>
  <c r="AA132" i="12"/>
  <c r="AA128" i="12"/>
  <c r="AA103" i="12"/>
  <c r="AA89" i="12"/>
  <c r="AA84" i="12"/>
  <c r="AA79" i="12"/>
  <c r="AA63" i="12"/>
  <c r="AA59" i="12"/>
  <c r="M69" i="28"/>
  <c r="AY50" i="12" s="1"/>
  <c r="M75" i="28"/>
  <c r="AY56" i="12" s="1"/>
  <c r="M56" i="28"/>
  <c r="AY37" i="12" s="1"/>
  <c r="M72" i="28"/>
  <c r="AY53" i="12" s="1"/>
  <c r="M69" i="27"/>
  <c r="AL50" i="12" s="1"/>
  <c r="M56" i="27"/>
  <c r="AL37" i="12" s="1"/>
  <c r="M72" i="27"/>
  <c r="AL53" i="12" s="1"/>
  <c r="M75" i="27"/>
  <c r="AL56" i="12" s="1"/>
  <c r="M72" i="30"/>
  <c r="BY53" i="12" s="1"/>
  <c r="M56" i="30"/>
  <c r="BY37" i="12" s="1"/>
  <c r="M69" i="30"/>
  <c r="BY50" i="12" s="1"/>
  <c r="M75" i="30"/>
  <c r="BY56" i="12" s="1"/>
  <c r="M72" i="29"/>
  <c r="BL53" i="12" s="1"/>
  <c r="M56" i="29"/>
  <c r="BL37" i="12" s="1"/>
  <c r="M75" i="29"/>
  <c r="BL56" i="12" s="1"/>
  <c r="M69" i="29"/>
  <c r="BL50" i="12" s="1"/>
  <c r="F11" i="33"/>
  <c r="F21" i="33" s="1"/>
  <c r="Z82" i="12"/>
  <c r="Z108" i="12"/>
  <c r="Z109" i="12"/>
  <c r="AM25" i="12"/>
  <c r="N61" i="27"/>
  <c r="AM112" i="12"/>
  <c r="AM107" i="12"/>
  <c r="AM82" i="12"/>
  <c r="AZ112" i="12"/>
  <c r="AZ64" i="12"/>
  <c r="AZ88" i="12"/>
  <c r="BZ109" i="12"/>
  <c r="BZ73" i="12"/>
  <c r="BZ82" i="12"/>
  <c r="BZ64" i="12"/>
  <c r="BZ110" i="12"/>
  <c r="N60" i="30"/>
  <c r="BZ25" i="12"/>
  <c r="BM64" i="12"/>
  <c r="BM82" i="12"/>
  <c r="BM140" i="12"/>
  <c r="BM153" i="12"/>
  <c r="BM110" i="12"/>
  <c r="BX113" i="12"/>
  <c r="X113" i="12"/>
  <c r="Z140" i="12"/>
  <c r="Z25" i="12"/>
  <c r="N60" i="26"/>
  <c r="N63" i="27"/>
  <c r="AM44" i="12" s="1"/>
  <c r="AM110" i="12"/>
  <c r="AZ25" i="12"/>
  <c r="N61" i="28"/>
  <c r="AZ82" i="12"/>
  <c r="AZ140" i="12"/>
  <c r="BB69" i="12"/>
  <c r="BB90" i="12"/>
  <c r="BB115" i="12"/>
  <c r="BB116" i="12"/>
  <c r="BB121" i="12"/>
  <c r="BB123" i="12"/>
  <c r="BB96" i="12"/>
  <c r="BB117" i="12"/>
  <c r="BB124" i="12"/>
  <c r="BB70" i="12"/>
  <c r="BB99" i="12"/>
  <c r="BB147" i="12"/>
  <c r="AB95" i="12"/>
  <c r="AB104" i="12"/>
  <c r="AB122" i="12"/>
  <c r="AB124" i="12"/>
  <c r="AB127" i="12"/>
  <c r="AB69" i="12"/>
  <c r="AB101" i="12"/>
  <c r="AB117" i="12"/>
  <c r="AB126" i="12"/>
  <c r="AB145" i="12"/>
  <c r="AB67" i="12"/>
  <c r="AB91" i="12"/>
  <c r="AB96" i="12"/>
  <c r="AO69" i="12"/>
  <c r="AO71" i="12"/>
  <c r="AO68" i="12"/>
  <c r="AO90" i="12"/>
  <c r="AO95" i="12"/>
  <c r="AO99" i="12"/>
  <c r="AO101" i="12"/>
  <c r="AO116" i="12"/>
  <c r="AO121" i="12"/>
  <c r="AO127" i="12"/>
  <c r="AO96" i="12"/>
  <c r="AO145" i="12"/>
  <c r="AO147" i="12"/>
  <c r="AO124" i="12"/>
  <c r="AO126" i="12"/>
  <c r="AO104" i="12"/>
  <c r="P184" i="32"/>
  <c r="P184" i="28"/>
  <c r="P184" i="30"/>
  <c r="P78" i="30" s="1"/>
  <c r="P184" i="27"/>
  <c r="P184" i="29"/>
  <c r="P184" i="26"/>
  <c r="AN128" i="12"/>
  <c r="BA128" i="12"/>
  <c r="N34" i="26"/>
  <c r="O34" i="29"/>
  <c r="P17" i="27"/>
  <c r="P20" i="27"/>
  <c r="P19" i="27"/>
  <c r="N34" i="27"/>
  <c r="P17" i="26"/>
  <c r="P23" i="26" s="1"/>
  <c r="P83" i="26" s="1"/>
  <c r="P20" i="26"/>
  <c r="P19" i="26"/>
  <c r="CB6" i="12"/>
  <c r="K153" i="33"/>
  <c r="BA12" i="12"/>
  <c r="O18" i="28"/>
  <c r="O33" i="28" s="1"/>
  <c r="BA15" i="12" s="1"/>
  <c r="BA7" i="12"/>
  <c r="BA9" i="12"/>
  <c r="BA5" i="12"/>
  <c r="BA8" i="12"/>
  <c r="P180" i="32"/>
  <c r="AB164" i="33"/>
  <c r="O164" i="33" s="1"/>
  <c r="M18" i="32"/>
  <c r="M33" i="32" s="1"/>
  <c r="M26" i="32"/>
  <c r="N218" i="32"/>
  <c r="P34" i="30"/>
  <c r="P19" i="28"/>
  <c r="P17" i="28"/>
  <c r="P20" i="28"/>
  <c r="O181" i="32"/>
  <c r="O182" i="32" s="1"/>
  <c r="O113" i="32" s="1"/>
  <c r="AN93" i="33" s="1"/>
  <c r="AA165" i="33"/>
  <c r="J176" i="32"/>
  <c r="AI156" i="33" s="1"/>
  <c r="I70" i="21" s="1"/>
  <c r="AG159" i="33"/>
  <c r="AG162" i="33" s="1"/>
  <c r="G79" i="21" s="1"/>
  <c r="AN12" i="12"/>
  <c r="O18" i="27"/>
  <c r="O33" i="27" s="1"/>
  <c r="AN15" i="12" s="1"/>
  <c r="AN7" i="12"/>
  <c r="AN8" i="12"/>
  <c r="AA12" i="12"/>
  <c r="O18" i="26"/>
  <c r="O33" i="26" s="1"/>
  <c r="AA15" i="12" s="1"/>
  <c r="AA7" i="12"/>
  <c r="AA9" i="12"/>
  <c r="O26" i="26"/>
  <c r="AA8" i="12" s="1"/>
  <c r="BO12" i="12"/>
  <c r="P18" i="29"/>
  <c r="P33" i="29" s="1"/>
  <c r="BO15" i="12" s="1"/>
  <c r="BO7" i="12"/>
  <c r="BO8" i="12"/>
  <c r="N18" i="32"/>
  <c r="N33" i="32" s="1"/>
  <c r="N26" i="32"/>
  <c r="M5" i="12" l="1"/>
  <c r="BB35" i="12"/>
  <c r="P26" i="28"/>
  <c r="P29" i="28" s="1"/>
  <c r="P23" i="28"/>
  <c r="P26" i="27"/>
  <c r="P23" i="27"/>
  <c r="P83" i="27" s="1"/>
  <c r="P108" i="26"/>
  <c r="P101" i="26"/>
  <c r="K37" i="33"/>
  <c r="N93" i="33"/>
  <c r="L26" i="33"/>
  <c r="K43" i="33"/>
  <c r="K41" i="33"/>
  <c r="K25" i="33"/>
  <c r="M6" i="12"/>
  <c r="N23" i="32" s="1"/>
  <c r="N83" i="32" s="1"/>
  <c r="AM64" i="33" s="1"/>
  <c r="K31" i="33"/>
  <c r="K56" i="33"/>
  <c r="K50" i="33"/>
  <c r="AL31" i="33"/>
  <c r="M77" i="32"/>
  <c r="AL58" i="33" s="1"/>
  <c r="M74" i="32"/>
  <c r="AL55" i="33" s="1"/>
  <c r="M55" i="32"/>
  <c r="AL36" i="33" s="1"/>
  <c r="M58" i="32"/>
  <c r="AL39" i="33" s="1"/>
  <c r="M71" i="32"/>
  <c r="AL52" i="33" s="1"/>
  <c r="AL25" i="33"/>
  <c r="L25" i="33" s="1"/>
  <c r="M56" i="32"/>
  <c r="AL37" i="33" s="1"/>
  <c r="M75" i="32"/>
  <c r="AL56" i="33" s="1"/>
  <c r="M69" i="32"/>
  <c r="AL50" i="33" s="1"/>
  <c r="M72" i="32"/>
  <c r="AL53" i="33" s="1"/>
  <c r="AK49" i="33"/>
  <c r="L81" i="32"/>
  <c r="AK62" i="33" s="1"/>
  <c r="K53" i="33"/>
  <c r="AL28" i="33"/>
  <c r="M57" i="32"/>
  <c r="AL38" i="33" s="1"/>
  <c r="M73" i="32"/>
  <c r="AL54" i="33" s="1"/>
  <c r="M76" i="32"/>
  <c r="AL57" i="33" s="1"/>
  <c r="M70" i="32"/>
  <c r="AL51" i="33" s="1"/>
  <c r="O42" i="32"/>
  <c r="O45" i="32"/>
  <c r="O48" i="32"/>
  <c r="AM41" i="33"/>
  <c r="N62" i="32"/>
  <c r="AM43" i="33" s="1"/>
  <c r="AM44" i="33"/>
  <c r="N65" i="32"/>
  <c r="AM46" i="33" s="1"/>
  <c r="AM25" i="33"/>
  <c r="N56" i="32"/>
  <c r="AM37" i="33" s="1"/>
  <c r="N72" i="32"/>
  <c r="AM53" i="33" s="1"/>
  <c r="N69" i="32"/>
  <c r="AM50" i="33" s="1"/>
  <c r="N75" i="32"/>
  <c r="AM56" i="33" s="1"/>
  <c r="AL44" i="33"/>
  <c r="L44" i="33" s="1"/>
  <c r="M65" i="32"/>
  <c r="AL46" i="33" s="1"/>
  <c r="AM31" i="33"/>
  <c r="N58" i="32"/>
  <c r="AM39" i="33" s="1"/>
  <c r="N71" i="32"/>
  <c r="AM52" i="33" s="1"/>
  <c r="N77" i="32"/>
  <c r="AM58" i="33" s="1"/>
  <c r="N74" i="32"/>
  <c r="AM55" i="33" s="1"/>
  <c r="N55" i="32"/>
  <c r="AM36" i="33" s="1"/>
  <c r="AM28" i="33"/>
  <c r="N70" i="32"/>
  <c r="AM51" i="33" s="1"/>
  <c r="N73" i="32"/>
  <c r="AM54" i="33" s="1"/>
  <c r="N76" i="32"/>
  <c r="AM57" i="33" s="1"/>
  <c r="N57" i="32"/>
  <c r="AM38" i="33" s="1"/>
  <c r="AM47" i="33"/>
  <c r="N68" i="32"/>
  <c r="AL47" i="33"/>
  <c r="M68" i="32"/>
  <c r="AL41" i="33"/>
  <c r="M62" i="32"/>
  <c r="AL43" i="33" s="1"/>
  <c r="O84" i="26"/>
  <c r="AA65" i="12" s="1"/>
  <c r="O24" i="26"/>
  <c r="AA6" i="12" s="1"/>
  <c r="O84" i="27"/>
  <c r="AN65" i="12" s="1"/>
  <c r="O24" i="27"/>
  <c r="AN6" i="12" s="1"/>
  <c r="O84" i="28"/>
  <c r="O24" i="28"/>
  <c r="P84" i="29"/>
  <c r="BO65" i="12" s="1"/>
  <c r="P24" i="29"/>
  <c r="BO6" i="12" s="1"/>
  <c r="I49" i="12"/>
  <c r="V49" i="33" s="1"/>
  <c r="I49" i="33" s="1"/>
  <c r="AS162" i="12"/>
  <c r="F82" i="21" s="1"/>
  <c r="F118" i="21" s="1"/>
  <c r="BF162" i="12"/>
  <c r="F83" i="21" s="1"/>
  <c r="AA5" i="12"/>
  <c r="N5" i="12" s="1"/>
  <c r="F109" i="21"/>
  <c r="P101" i="28"/>
  <c r="P148" i="28"/>
  <c r="BB128" i="12" s="1"/>
  <c r="AT157" i="12"/>
  <c r="G91" i="21" s="1"/>
  <c r="G73" i="21"/>
  <c r="G64" i="21" s="1"/>
  <c r="P96" i="29"/>
  <c r="F110" i="21"/>
  <c r="P29" i="27"/>
  <c r="H72" i="21"/>
  <c r="H63" i="21" s="1"/>
  <c r="AG159" i="12"/>
  <c r="F81" i="21"/>
  <c r="J112" i="21"/>
  <c r="CI159" i="12"/>
  <c r="CI162" i="12" s="1"/>
  <c r="H85" i="21"/>
  <c r="G103" i="21"/>
  <c r="G121" i="21"/>
  <c r="BU157" i="12"/>
  <c r="H93" i="21" s="1"/>
  <c r="H75" i="21"/>
  <c r="H66" i="21" s="1"/>
  <c r="E162" i="12"/>
  <c r="E80" i="21"/>
  <c r="E101" i="21"/>
  <c r="E119" i="21"/>
  <c r="G97" i="21"/>
  <c r="G115" i="21"/>
  <c r="F120" i="21"/>
  <c r="F102" i="21"/>
  <c r="G65" i="21"/>
  <c r="F65" i="21"/>
  <c r="P55" i="29"/>
  <c r="M7" i="33"/>
  <c r="BB126" i="12"/>
  <c r="P108" i="28"/>
  <c r="P118" i="28"/>
  <c r="BB98" i="12" s="1"/>
  <c r="P145" i="28"/>
  <c r="BB125" i="12" s="1"/>
  <c r="P108" i="27"/>
  <c r="P118" i="26"/>
  <c r="P55" i="26"/>
  <c r="O96" i="26"/>
  <c r="L7" i="33"/>
  <c r="M12" i="33"/>
  <c r="O55" i="28"/>
  <c r="BO5" i="12"/>
  <c r="K65" i="33"/>
  <c r="K6" i="33"/>
  <c r="AN76" i="12"/>
  <c r="N76" i="12" s="1"/>
  <c r="AA76" i="33" s="1"/>
  <c r="N76" i="33" s="1"/>
  <c r="P118" i="27"/>
  <c r="AK49" i="12"/>
  <c r="BB122" i="12"/>
  <c r="O122" i="12" s="1"/>
  <c r="AB122" i="33" s="1"/>
  <c r="P114" i="28"/>
  <c r="BB94" i="12" s="1"/>
  <c r="P133" i="26"/>
  <c r="AL8" i="33"/>
  <c r="L8" i="33" s="1"/>
  <c r="M29" i="32"/>
  <c r="AL11" i="33" s="1"/>
  <c r="P95" i="28"/>
  <c r="BB76" i="12" s="1"/>
  <c r="P133" i="28"/>
  <c r="P173" i="28"/>
  <c r="P173" i="27"/>
  <c r="P114" i="27"/>
  <c r="AM8" i="33"/>
  <c r="M8" i="33" s="1"/>
  <c r="N29" i="32"/>
  <c r="AM11" i="33" s="1"/>
  <c r="AO117" i="12"/>
  <c r="O117" i="12" s="1"/>
  <c r="AB117" i="33" s="1"/>
  <c r="P83" i="28"/>
  <c r="AO8" i="12"/>
  <c r="AO9" i="12"/>
  <c r="P126" i="26"/>
  <c r="AJ49" i="12"/>
  <c r="K81" i="27"/>
  <c r="P55" i="28"/>
  <c r="P101" i="27"/>
  <c r="O111" i="32"/>
  <c r="O112" i="32"/>
  <c r="O110" i="32"/>
  <c r="P92" i="28"/>
  <c r="P126" i="28"/>
  <c r="P148" i="27"/>
  <c r="P148" i="26"/>
  <c r="P114" i="26"/>
  <c r="AB94" i="12" s="1"/>
  <c r="P160" i="26"/>
  <c r="P92" i="27"/>
  <c r="P126" i="27"/>
  <c r="P145" i="26"/>
  <c r="AB125" i="12" s="1"/>
  <c r="P138" i="28"/>
  <c r="BB118" i="12" s="1"/>
  <c r="P160" i="28"/>
  <c r="P95" i="27"/>
  <c r="P96" i="27" s="1"/>
  <c r="P145" i="27"/>
  <c r="AO125" i="12" s="1"/>
  <c r="P133" i="27"/>
  <c r="P160" i="27"/>
  <c r="P95" i="26"/>
  <c r="AB76" i="12" s="1"/>
  <c r="P92" i="26"/>
  <c r="P138" i="26"/>
  <c r="P173" i="26"/>
  <c r="AX55" i="12"/>
  <c r="K55" i="12" s="1"/>
  <c r="X55" i="33" s="1"/>
  <c r="K55" i="33" s="1"/>
  <c r="AW55" i="12"/>
  <c r="J55" i="12" s="1"/>
  <c r="W55" i="33" s="1"/>
  <c r="J55" i="33" s="1"/>
  <c r="K81" i="28"/>
  <c r="BJ49" i="12"/>
  <c r="K81" i="29"/>
  <c r="BK49" i="12"/>
  <c r="BW49" i="12"/>
  <c r="K81" i="30"/>
  <c r="BX49" i="12"/>
  <c r="CM49" i="12"/>
  <c r="N81" i="34"/>
  <c r="CM62" i="12" s="1"/>
  <c r="W38" i="12"/>
  <c r="J38" i="12" s="1"/>
  <c r="W38" i="33" s="1"/>
  <c r="J38" i="33" s="1"/>
  <c r="K81" i="26"/>
  <c r="Y37" i="12"/>
  <c r="L37" i="12" s="1"/>
  <c r="Y37" i="33" s="1"/>
  <c r="O147" i="12"/>
  <c r="AB147" i="33" s="1"/>
  <c r="O147" i="33" s="1"/>
  <c r="M24" i="32"/>
  <c r="AL6" i="33" s="1"/>
  <c r="AL5" i="33"/>
  <c r="L5" i="33" s="1"/>
  <c r="M84" i="32"/>
  <c r="AL65" i="33" s="1"/>
  <c r="O123" i="12"/>
  <c r="AB123" i="33" s="1"/>
  <c r="O68" i="12"/>
  <c r="AB68" i="33" s="1"/>
  <c r="O68" i="33" s="1"/>
  <c r="N9" i="12"/>
  <c r="AA9" i="33" s="1"/>
  <c r="O90" i="12"/>
  <c r="AB90" i="33" s="1"/>
  <c r="O71" i="12"/>
  <c r="AB71" i="33" s="1"/>
  <c r="O71" i="33" s="1"/>
  <c r="O39" i="34"/>
  <c r="CN21" i="12" s="1"/>
  <c r="N57" i="21" s="1"/>
  <c r="O145" i="12"/>
  <c r="AB145" i="33" s="1"/>
  <c r="O127" i="12"/>
  <c r="AB127" i="33" s="1"/>
  <c r="O99" i="12"/>
  <c r="N98" i="12"/>
  <c r="O115" i="12"/>
  <c r="AB115" i="33" s="1"/>
  <c r="O116" i="12"/>
  <c r="AB116" i="33" s="1"/>
  <c r="O101" i="12"/>
  <c r="AB101" i="33" s="1"/>
  <c r="O101" i="33" s="1"/>
  <c r="O104" i="12"/>
  <c r="AB104" i="33" s="1"/>
  <c r="O104" i="33" s="1"/>
  <c r="L16" i="12"/>
  <c r="Y16" i="33" s="1"/>
  <c r="N131" i="12"/>
  <c r="AA131" i="33" s="1"/>
  <c r="N131" i="33" s="1"/>
  <c r="CN36" i="12"/>
  <c r="J106" i="12"/>
  <c r="W106" i="33" s="1"/>
  <c r="J106" i="33" s="1"/>
  <c r="N120" i="12"/>
  <c r="M88" i="12"/>
  <c r="N133" i="12"/>
  <c r="AA133" i="33" s="1"/>
  <c r="N133" i="33" s="1"/>
  <c r="N114" i="12"/>
  <c r="BT159" i="12"/>
  <c r="BT162" i="12" s="1"/>
  <c r="G84" i="21" s="1"/>
  <c r="M105" i="12"/>
  <c r="Z105" i="33" s="1"/>
  <c r="M105" i="33" s="1"/>
  <c r="H21" i="12"/>
  <c r="U21" i="33" s="1"/>
  <c r="CO10" i="12"/>
  <c r="CO141" i="12"/>
  <c r="CO144" i="12"/>
  <c r="CO30" i="12"/>
  <c r="P67" i="34"/>
  <c r="CO48" i="12" s="1"/>
  <c r="CM37" i="12"/>
  <c r="M44" i="12"/>
  <c r="Z44" i="33" s="1"/>
  <c r="N134" i="12"/>
  <c r="AA134" i="33" s="1"/>
  <c r="N134" i="33" s="1"/>
  <c r="N137" i="12"/>
  <c r="AA137" i="33" s="1"/>
  <c r="N137" i="33" s="1"/>
  <c r="J51" i="12"/>
  <c r="W51" i="33" s="1"/>
  <c r="J51" i="33" s="1"/>
  <c r="CO27" i="12"/>
  <c r="P64" i="34"/>
  <c r="CO45" i="12" s="1"/>
  <c r="CO35" i="12"/>
  <c r="N149" i="12"/>
  <c r="AA149" i="33" s="1"/>
  <c r="N149" i="33" s="1"/>
  <c r="N148" i="12"/>
  <c r="AA148" i="33" s="1"/>
  <c r="N148" i="33" s="1"/>
  <c r="CO23" i="12"/>
  <c r="P60" i="34"/>
  <c r="CO102" i="12"/>
  <c r="CO106" i="12"/>
  <c r="CO148" i="12"/>
  <c r="CO153" i="12"/>
  <c r="CO129" i="12"/>
  <c r="CO140" i="12"/>
  <c r="CO88" i="12"/>
  <c r="CO86" i="12"/>
  <c r="O68" i="34"/>
  <c r="CN47" i="12"/>
  <c r="CO29" i="12"/>
  <c r="P66" i="34"/>
  <c r="CN31" i="12"/>
  <c r="O58" i="34"/>
  <c r="CN39" i="12" s="1"/>
  <c r="O74" i="34"/>
  <c r="CN55" i="12" s="1"/>
  <c r="O71" i="34"/>
  <c r="CN52" i="12" s="1"/>
  <c r="O77" i="34"/>
  <c r="CN58" i="12" s="1"/>
  <c r="O62" i="34"/>
  <c r="CN43" i="12" s="1"/>
  <c r="CN41" i="12"/>
  <c r="CN28" i="12"/>
  <c r="O73" i="34"/>
  <c r="CN54" i="12" s="1"/>
  <c r="O76" i="34"/>
  <c r="CN57" i="12" s="1"/>
  <c r="O70" i="34"/>
  <c r="CN51" i="12" s="1"/>
  <c r="O57" i="34"/>
  <c r="CN38" i="12" s="1"/>
  <c r="N84" i="12"/>
  <c r="N72" i="12"/>
  <c r="AA72" i="33" s="1"/>
  <c r="N72" i="33" s="1"/>
  <c r="L56" i="12"/>
  <c r="Y56" i="33" s="1"/>
  <c r="N60" i="12"/>
  <c r="AA60" i="33" s="1"/>
  <c r="N60" i="33" s="1"/>
  <c r="M141" i="12"/>
  <c r="Z141" i="33" s="1"/>
  <c r="M141" i="33" s="1"/>
  <c r="CO32" i="12"/>
  <c r="P59" i="34"/>
  <c r="CO40" i="12" s="1"/>
  <c r="CN25" i="12"/>
  <c r="O75" i="34"/>
  <c r="CN56" i="12" s="1"/>
  <c r="O56" i="34"/>
  <c r="O72" i="34"/>
  <c r="CN53" i="12" s="1"/>
  <c r="O69" i="34"/>
  <c r="CN50" i="12" s="1"/>
  <c r="CN44" i="12"/>
  <c r="O65" i="34"/>
  <c r="CN46" i="12" s="1"/>
  <c r="CO74" i="12"/>
  <c r="CO77" i="12"/>
  <c r="CO78" i="12"/>
  <c r="CO82" i="12"/>
  <c r="CO66" i="12"/>
  <c r="CO73" i="12"/>
  <c r="N119" i="12"/>
  <c r="CO26" i="12"/>
  <c r="P63" i="34"/>
  <c r="CO24" i="12"/>
  <c r="P61" i="34"/>
  <c r="CO42" i="12" s="1"/>
  <c r="M82" i="12"/>
  <c r="N128" i="12"/>
  <c r="AA128" i="33" s="1"/>
  <c r="N130" i="12"/>
  <c r="AA130" i="33" s="1"/>
  <c r="N130" i="33" s="1"/>
  <c r="N129" i="12"/>
  <c r="AA129" i="33" s="1"/>
  <c r="N129" i="33" s="1"/>
  <c r="J54" i="12"/>
  <c r="W54" i="33" s="1"/>
  <c r="J54" i="33" s="1"/>
  <c r="J47" i="12"/>
  <c r="W47" i="33" s="1"/>
  <c r="J47" i="33" s="1"/>
  <c r="M144" i="12"/>
  <c r="N132" i="12"/>
  <c r="AA132" i="33" s="1"/>
  <c r="N132" i="33" s="1"/>
  <c r="J36" i="12"/>
  <c r="O96" i="12"/>
  <c r="AB96" i="33" s="1"/>
  <c r="O96" i="33" s="1"/>
  <c r="N139" i="12"/>
  <c r="AA139" i="33" s="1"/>
  <c r="N139" i="33" s="1"/>
  <c r="N61" i="12"/>
  <c r="AA61" i="33" s="1"/>
  <c r="N61" i="33" s="1"/>
  <c r="N125" i="12"/>
  <c r="AA125" i="33" s="1"/>
  <c r="N15" i="12"/>
  <c r="AA15" i="33" s="1"/>
  <c r="O91" i="12"/>
  <c r="AB91" i="33" s="1"/>
  <c r="O93" i="12"/>
  <c r="AB93" i="33" s="1"/>
  <c r="O97" i="12"/>
  <c r="AB97" i="33" s="1"/>
  <c r="O97" i="33" s="1"/>
  <c r="M25" i="12"/>
  <c r="Z25" i="33" s="1"/>
  <c r="N59" i="12"/>
  <c r="AA59" i="33" s="1"/>
  <c r="N59" i="33" s="1"/>
  <c r="N136" i="12"/>
  <c r="AA136" i="33" s="1"/>
  <c r="N136" i="33" s="1"/>
  <c r="N152" i="12"/>
  <c r="AA152" i="33" s="1"/>
  <c r="N152" i="33" s="1"/>
  <c r="N75" i="12"/>
  <c r="AA75" i="33" s="1"/>
  <c r="N75" i="33" s="1"/>
  <c r="N138" i="12"/>
  <c r="AA138" i="33" s="1"/>
  <c r="N138" i="33" s="1"/>
  <c r="N135" i="12"/>
  <c r="AA135" i="33" s="1"/>
  <c r="N135" i="33" s="1"/>
  <c r="N150" i="12"/>
  <c r="AA150" i="33" s="1"/>
  <c r="N150" i="33" s="1"/>
  <c r="J52" i="12"/>
  <c r="W52" i="33" s="1"/>
  <c r="J52" i="33" s="1"/>
  <c r="L29" i="12"/>
  <c r="Y29" i="33" s="1"/>
  <c r="L29" i="33" s="1"/>
  <c r="H62" i="12"/>
  <c r="U62" i="33" s="1"/>
  <c r="J45" i="12"/>
  <c r="W45" i="33" s="1"/>
  <c r="J45" i="33" s="1"/>
  <c r="K39" i="12"/>
  <c r="X39" i="33" s="1"/>
  <c r="K39" i="33" s="1"/>
  <c r="L43" i="12"/>
  <c r="Y43" i="33" s="1"/>
  <c r="J10" i="12"/>
  <c r="W10" i="33" s="1"/>
  <c r="J10" i="33" s="1"/>
  <c r="N7" i="12"/>
  <c r="N12" i="12"/>
  <c r="AA12" i="33" s="1"/>
  <c r="O69" i="12"/>
  <c r="AB69" i="33" s="1"/>
  <c r="O69" i="33" s="1"/>
  <c r="M140" i="12"/>
  <c r="N81" i="12"/>
  <c r="AA81" i="33" s="1"/>
  <c r="N81" i="33" s="1"/>
  <c r="J39" i="12"/>
  <c r="W39" i="33" s="1"/>
  <c r="J39" i="33" s="1"/>
  <c r="X47" i="33"/>
  <c r="K47" i="33" s="1"/>
  <c r="M24" i="12"/>
  <c r="Z24" i="33" s="1"/>
  <c r="M24" i="33" s="1"/>
  <c r="J46" i="12"/>
  <c r="W46" i="33" s="1"/>
  <c r="J46" i="33" s="1"/>
  <c r="K58" i="12"/>
  <c r="X58" i="33" s="1"/>
  <c r="K58" i="33" s="1"/>
  <c r="P39" i="34"/>
  <c r="CO21" i="12" s="1"/>
  <c r="O57" i="21" s="1"/>
  <c r="CO11" i="12"/>
  <c r="O95" i="12"/>
  <c r="AB95" i="33" s="1"/>
  <c r="O95" i="33" s="1"/>
  <c r="N63" i="12"/>
  <c r="N151" i="12"/>
  <c r="AA151" i="33" s="1"/>
  <c r="N151" i="33" s="1"/>
  <c r="O67" i="12"/>
  <c r="AB67" i="33" s="1"/>
  <c r="O146" i="12"/>
  <c r="AB146" i="33" s="1"/>
  <c r="O92" i="12"/>
  <c r="AB92" i="33" s="1"/>
  <c r="N79" i="12"/>
  <c r="AA79" i="33" s="1"/>
  <c r="N79" i="33" s="1"/>
  <c r="N87" i="12"/>
  <c r="AA87" i="33" s="1"/>
  <c r="N87" i="33" s="1"/>
  <c r="N86" i="12"/>
  <c r="AA86" i="33" s="1"/>
  <c r="N86" i="33" s="1"/>
  <c r="N94" i="12"/>
  <c r="AA94" i="33" s="1"/>
  <c r="J58" i="12"/>
  <c r="W58" i="33" s="1"/>
  <c r="J58" i="33" s="1"/>
  <c r="N34" i="12"/>
  <c r="AA34" i="33" s="1"/>
  <c r="N34" i="33" s="1"/>
  <c r="M40" i="12"/>
  <c r="Z40" i="33" s="1"/>
  <c r="M40" i="33" s="1"/>
  <c r="K102" i="12"/>
  <c r="X102" i="33" s="1"/>
  <c r="K102" i="33" s="1"/>
  <c r="N33" i="12"/>
  <c r="AA33" i="33" s="1"/>
  <c r="N33" i="33" s="1"/>
  <c r="N35" i="12"/>
  <c r="AA35" i="33" s="1"/>
  <c r="N35" i="33" s="1"/>
  <c r="M66" i="12"/>
  <c r="Z66" i="33" s="1"/>
  <c r="M66" i="33" s="1"/>
  <c r="N8" i="12"/>
  <c r="AA8" i="33" s="1"/>
  <c r="O121" i="12"/>
  <c r="O126" i="12"/>
  <c r="AB126" i="33" s="1"/>
  <c r="O124" i="12"/>
  <c r="AB124" i="33" s="1"/>
  <c r="O70" i="12"/>
  <c r="AB70" i="33" s="1"/>
  <c r="O70" i="33" s="1"/>
  <c r="N89" i="12"/>
  <c r="N80" i="12"/>
  <c r="AA80" i="33" s="1"/>
  <c r="N80" i="33" s="1"/>
  <c r="L50" i="12"/>
  <c r="Y50" i="33" s="1"/>
  <c r="L50" i="33" s="1"/>
  <c r="N118" i="12"/>
  <c r="AA118" i="33" s="1"/>
  <c r="N83" i="12"/>
  <c r="L27" i="12"/>
  <c r="Y27" i="33" s="1"/>
  <c r="L27" i="33" s="1"/>
  <c r="L30" i="12"/>
  <c r="Y30" i="33" s="1"/>
  <c r="L30" i="33" s="1"/>
  <c r="L41" i="12"/>
  <c r="Y41" i="33" s="1"/>
  <c r="K106" i="12"/>
  <c r="N142" i="12"/>
  <c r="AA142" i="33" s="1"/>
  <c r="N142" i="33" s="1"/>
  <c r="N143" i="12"/>
  <c r="AA143" i="33" s="1"/>
  <c r="N143" i="33" s="1"/>
  <c r="Z86" i="33"/>
  <c r="M86" i="33" s="1"/>
  <c r="I21" i="12"/>
  <c r="V21" i="33" s="1"/>
  <c r="M23" i="12"/>
  <c r="Z23" i="33" s="1"/>
  <c r="M23" i="33" s="1"/>
  <c r="N103" i="12"/>
  <c r="AA103" i="33" s="1"/>
  <c r="N103" i="33" s="1"/>
  <c r="N100" i="12"/>
  <c r="L53" i="12"/>
  <c r="Y53" i="33" s="1"/>
  <c r="N85" i="12"/>
  <c r="J57" i="12"/>
  <c r="W57" i="33" s="1"/>
  <c r="J57" i="33" s="1"/>
  <c r="M153" i="12"/>
  <c r="Z153" i="33" s="1"/>
  <c r="W31" i="33"/>
  <c r="J31" i="33" s="1"/>
  <c r="L48" i="12"/>
  <c r="Y48" i="33" s="1"/>
  <c r="L48" i="33" s="1"/>
  <c r="M65" i="12"/>
  <c r="K52" i="12"/>
  <c r="X52" i="33" s="1"/>
  <c r="K52" i="33" s="1"/>
  <c r="M26" i="12"/>
  <c r="Z26" i="33" s="1"/>
  <c r="M26" i="33" s="1"/>
  <c r="M109" i="12"/>
  <c r="Z109" i="33" s="1"/>
  <c r="M109" i="33" s="1"/>
  <c r="L64" i="12"/>
  <c r="M111" i="12"/>
  <c r="Z111" i="33" s="1"/>
  <c r="M111" i="33" s="1"/>
  <c r="L108" i="12"/>
  <c r="Y108" i="33" s="1"/>
  <c r="L108" i="33" s="1"/>
  <c r="H11" i="12"/>
  <c r="U11" i="33" s="1"/>
  <c r="M117" i="33"/>
  <c r="I11" i="12"/>
  <c r="V11" i="33" s="1"/>
  <c r="M32" i="12"/>
  <c r="Z32" i="33" s="1"/>
  <c r="M32" i="33" s="1"/>
  <c r="L73" i="12"/>
  <c r="Y73" i="33" s="1"/>
  <c r="L73" i="33" s="1"/>
  <c r="S156" i="33"/>
  <c r="F156" i="33" s="1"/>
  <c r="F157" i="33" s="1"/>
  <c r="L109" i="12"/>
  <c r="Y109" i="33" s="1"/>
  <c r="L109" i="33" s="1"/>
  <c r="L111" i="12"/>
  <c r="Y111" i="33" s="1"/>
  <c r="L111" i="33" s="1"/>
  <c r="M108" i="12"/>
  <c r="Z108" i="33" s="1"/>
  <c r="M108" i="33" s="1"/>
  <c r="M110" i="12"/>
  <c r="Z110" i="33" s="1"/>
  <c r="M110" i="33" s="1"/>
  <c r="L107" i="12"/>
  <c r="Y107" i="33" s="1"/>
  <c r="L107" i="33" s="1"/>
  <c r="L112" i="12"/>
  <c r="Y112" i="33" s="1"/>
  <c r="L112" i="33" s="1"/>
  <c r="M64" i="12"/>
  <c r="L177" i="34"/>
  <c r="CK157" i="12" s="1"/>
  <c r="K94" i="21" s="1"/>
  <c r="CK156" i="12"/>
  <c r="K76" i="21" s="1"/>
  <c r="H62" i="21"/>
  <c r="CM113" i="12"/>
  <c r="CM107" i="12"/>
  <c r="M107" i="12" s="1"/>
  <c r="Z107" i="33" s="1"/>
  <c r="M107" i="33" s="1"/>
  <c r="G156" i="12"/>
  <c r="G157" i="12" s="1"/>
  <c r="M112" i="12"/>
  <c r="Z112" i="33" s="1"/>
  <c r="M112" i="33" s="1"/>
  <c r="K113" i="12"/>
  <c r="L110" i="12"/>
  <c r="Y110" i="33" s="1"/>
  <c r="L110" i="33" s="1"/>
  <c r="M176" i="34"/>
  <c r="CL113" i="12"/>
  <c r="I177" i="26"/>
  <c r="K29" i="26"/>
  <c r="W11" i="12" s="1"/>
  <c r="K39" i="28"/>
  <c r="AW21" i="12" s="1"/>
  <c r="BA153" i="12"/>
  <c r="BY11" i="12"/>
  <c r="J16" i="33"/>
  <c r="M39" i="29"/>
  <c r="BL21" i="12" s="1"/>
  <c r="AA121" i="33"/>
  <c r="N121" i="33" s="1"/>
  <c r="Z84" i="33"/>
  <c r="M84" i="33" s="1"/>
  <c r="Z63" i="33"/>
  <c r="M63" i="33" s="1"/>
  <c r="Z85" i="33"/>
  <c r="M85" i="33" s="1"/>
  <c r="Y140" i="33"/>
  <c r="L140" i="33" s="1"/>
  <c r="Y77" i="33"/>
  <c r="L77" i="33" s="1"/>
  <c r="AL128" i="33"/>
  <c r="L128" i="33" s="1"/>
  <c r="AL94" i="33"/>
  <c r="L94" i="33" s="1"/>
  <c r="BZ11" i="12"/>
  <c r="BZ10" i="12"/>
  <c r="BM11" i="12"/>
  <c r="BM10" i="12"/>
  <c r="Z100" i="33"/>
  <c r="M100" i="33" s="1"/>
  <c r="V113" i="33"/>
  <c r="I113" i="33" s="1"/>
  <c r="X64" i="33"/>
  <c r="K64" i="33" s="1"/>
  <c r="AA99" i="33"/>
  <c r="N99" i="33" s="1"/>
  <c r="Z114" i="33"/>
  <c r="M114" i="33" s="1"/>
  <c r="Z89" i="33"/>
  <c r="M89" i="33" s="1"/>
  <c r="Z83" i="33"/>
  <c r="M83" i="33" s="1"/>
  <c r="Y88" i="33"/>
  <c r="L88" i="33" s="1"/>
  <c r="AL118" i="33"/>
  <c r="L118" i="33" s="1"/>
  <c r="AL125" i="33"/>
  <c r="L125" i="33" s="1"/>
  <c r="Y144" i="33"/>
  <c r="L144" i="33" s="1"/>
  <c r="Z98" i="33"/>
  <c r="M98" i="33" s="1"/>
  <c r="AL20" i="33"/>
  <c r="L20" i="33" s="1"/>
  <c r="AM20" i="33"/>
  <c r="M20" i="33" s="1"/>
  <c r="AM16" i="12"/>
  <c r="BN16" i="12"/>
  <c r="M9" i="33"/>
  <c r="Y65" i="33"/>
  <c r="AJ11" i="12"/>
  <c r="K39" i="27"/>
  <c r="AJ21" i="12" s="1"/>
  <c r="M34" i="32"/>
  <c r="AL15" i="33"/>
  <c r="L15" i="33" s="1"/>
  <c r="N34" i="32"/>
  <c r="AM15" i="33"/>
  <c r="M15" i="33" s="1"/>
  <c r="Z16" i="12"/>
  <c r="AZ16" i="12"/>
  <c r="CB16" i="12"/>
  <c r="Y6" i="33"/>
  <c r="AK16" i="33"/>
  <c r="K16" i="33" s="1"/>
  <c r="L39" i="32"/>
  <c r="AK21" i="33" s="1"/>
  <c r="Z119" i="33"/>
  <c r="M119" i="33" s="1"/>
  <c r="Y82" i="33"/>
  <c r="L82" i="33" s="1"/>
  <c r="Z120" i="33"/>
  <c r="M120" i="33" s="1"/>
  <c r="V36" i="33"/>
  <c r="I36" i="33" s="1"/>
  <c r="I12" i="21" s="1"/>
  <c r="G42" i="21"/>
  <c r="AK10" i="12"/>
  <c r="AM11" i="12"/>
  <c r="X10" i="12"/>
  <c r="I177" i="27"/>
  <c r="O61" i="28"/>
  <c r="BA42" i="12" s="1"/>
  <c r="F61" i="21"/>
  <c r="F69" i="21"/>
  <c r="F59" i="21" s="1"/>
  <c r="AA144" i="12"/>
  <c r="G50" i="21"/>
  <c r="H52" i="21"/>
  <c r="H43" i="21" s="1"/>
  <c r="BM106" i="12"/>
  <c r="BM102" i="12"/>
  <c r="BZ106" i="12"/>
  <c r="BZ102" i="12"/>
  <c r="BY106" i="12"/>
  <c r="BY102" i="12"/>
  <c r="AL10" i="12"/>
  <c r="AL102" i="12"/>
  <c r="AY106" i="12"/>
  <c r="AY102" i="12"/>
  <c r="AN73" i="12"/>
  <c r="AN66" i="12"/>
  <c r="AB142" i="12"/>
  <c r="AB143" i="12"/>
  <c r="AB33" i="12"/>
  <c r="BB34" i="12"/>
  <c r="BB143" i="12"/>
  <c r="BA144" i="12"/>
  <c r="BA141" i="12"/>
  <c r="AN144" i="12"/>
  <c r="AN141" i="12"/>
  <c r="AO33" i="12"/>
  <c r="AO143" i="12"/>
  <c r="J177" i="32"/>
  <c r="AI157" i="33" s="1"/>
  <c r="I88" i="21" s="1"/>
  <c r="I106" i="21" s="1"/>
  <c r="BA65" i="12"/>
  <c r="BO141" i="12"/>
  <c r="BO143" i="12"/>
  <c r="BO33" i="12"/>
  <c r="BO34" i="12"/>
  <c r="BO35" i="12"/>
  <c r="CB143" i="12"/>
  <c r="CB142" i="12"/>
  <c r="CB33" i="12"/>
  <c r="CB34" i="12"/>
  <c r="CB35" i="12"/>
  <c r="AZ102" i="12"/>
  <c r="BL106" i="12"/>
  <c r="BL102" i="12"/>
  <c r="AB141" i="12"/>
  <c r="AB34" i="12"/>
  <c r="AB35" i="12"/>
  <c r="BB33" i="12"/>
  <c r="AO35" i="12"/>
  <c r="BN141" i="12"/>
  <c r="BN144" i="12"/>
  <c r="CA141" i="12"/>
  <c r="CA144" i="12"/>
  <c r="BB141" i="12"/>
  <c r="AO34" i="12"/>
  <c r="AO141" i="12"/>
  <c r="Z106" i="12"/>
  <c r="Z102" i="12"/>
  <c r="Y106" i="12"/>
  <c r="Y102" i="12"/>
  <c r="P60" i="27"/>
  <c r="AO41" i="12" s="1"/>
  <c r="AO23" i="12"/>
  <c r="N62" i="27"/>
  <c r="AM43" i="12" s="1"/>
  <c r="AM42" i="12"/>
  <c r="O63" i="27"/>
  <c r="AN44" i="12" s="1"/>
  <c r="AN26" i="12"/>
  <c r="AK36" i="12"/>
  <c r="AN82" i="12"/>
  <c r="AN78" i="12"/>
  <c r="N78" i="12" s="1"/>
  <c r="L65" i="27"/>
  <c r="AK46" i="12" s="1"/>
  <c r="AK45" i="12"/>
  <c r="N67" i="27"/>
  <c r="AM48" i="12" s="1"/>
  <c r="AM30" i="12"/>
  <c r="AI62" i="12"/>
  <c r="J176" i="27"/>
  <c r="O61" i="26"/>
  <c r="AA42" i="12" s="1"/>
  <c r="AA24" i="12"/>
  <c r="P61" i="26"/>
  <c r="AB42" i="12" s="1"/>
  <c r="AB24" i="12"/>
  <c r="N62" i="26"/>
  <c r="Z43" i="12" s="1"/>
  <c r="Z41" i="12"/>
  <c r="X36" i="12"/>
  <c r="X28" i="12"/>
  <c r="V62" i="12"/>
  <c r="J176" i="26"/>
  <c r="U157" i="12"/>
  <c r="H89" i="21" s="1"/>
  <c r="H107" i="21" s="1"/>
  <c r="O59" i="26"/>
  <c r="AA40" i="12" s="1"/>
  <c r="AA32" i="12"/>
  <c r="L65" i="26"/>
  <c r="X46" i="12" s="1"/>
  <c r="X45" i="12"/>
  <c r="N67" i="26"/>
  <c r="Z48" i="12" s="1"/>
  <c r="Z30" i="12"/>
  <c r="AZ77" i="12"/>
  <c r="M77" i="12" s="1"/>
  <c r="N62" i="28"/>
  <c r="AZ43" i="12" s="1"/>
  <c r="AZ42" i="12"/>
  <c r="O69" i="28"/>
  <c r="BA50" i="12" s="1"/>
  <c r="BA23" i="12"/>
  <c r="AX36" i="12"/>
  <c r="AX28" i="12"/>
  <c r="N67" i="28"/>
  <c r="AZ48" i="12" s="1"/>
  <c r="AZ30" i="12"/>
  <c r="AU156" i="12"/>
  <c r="I177" i="28"/>
  <c r="L65" i="28"/>
  <c r="AX46" i="12" s="1"/>
  <c r="AX45" i="12"/>
  <c r="AV62" i="12"/>
  <c r="J176" i="28"/>
  <c r="BN77" i="12"/>
  <c r="BN74" i="12"/>
  <c r="N74" i="12" s="1"/>
  <c r="N62" i="30"/>
  <c r="BZ43" i="12" s="1"/>
  <c r="BZ41" i="12"/>
  <c r="N67" i="30"/>
  <c r="BZ48" i="12" s="1"/>
  <c r="BZ30" i="12"/>
  <c r="BX36" i="12"/>
  <c r="BX28" i="12"/>
  <c r="I177" i="30"/>
  <c r="O61" i="30"/>
  <c r="CA42" i="12" s="1"/>
  <c r="CA24" i="12"/>
  <c r="L65" i="30"/>
  <c r="BX46" i="12" s="1"/>
  <c r="BX45" i="12"/>
  <c r="BV62" i="12"/>
  <c r="J176" i="30"/>
  <c r="O61" i="29"/>
  <c r="BN42" i="12" s="1"/>
  <c r="BN24" i="12"/>
  <c r="L65" i="29"/>
  <c r="BK46" i="12" s="1"/>
  <c r="BK45" i="12"/>
  <c r="BI62" i="12"/>
  <c r="J176" i="29"/>
  <c r="BH156" i="12"/>
  <c r="I177" i="29"/>
  <c r="N62" i="29"/>
  <c r="BM43" i="12" s="1"/>
  <c r="BM41" i="12"/>
  <c r="BK36" i="12"/>
  <c r="BK28" i="12"/>
  <c r="N67" i="29"/>
  <c r="BM48" i="12" s="1"/>
  <c r="BM30" i="12"/>
  <c r="BM73" i="12"/>
  <c r="M73" i="12" s="1"/>
  <c r="AM106" i="12"/>
  <c r="AH157" i="12"/>
  <c r="H90" i="21" s="1"/>
  <c r="H53" i="21"/>
  <c r="H44" i="21" s="1"/>
  <c r="I53" i="21"/>
  <c r="I44" i="21" s="1"/>
  <c r="I54" i="21"/>
  <c r="I45" i="21" s="1"/>
  <c r="BN105" i="12"/>
  <c r="CA105" i="12"/>
  <c r="O143" i="32"/>
  <c r="O146" i="32"/>
  <c r="O165" i="32"/>
  <c r="O128" i="32"/>
  <c r="CN108" i="12" s="1"/>
  <c r="O130" i="32"/>
  <c r="CN110" i="12" s="1"/>
  <c r="O132" i="32"/>
  <c r="CN112" i="12" s="1"/>
  <c r="O142" i="32"/>
  <c r="O144" i="32"/>
  <c r="O147" i="32"/>
  <c r="O166" i="32"/>
  <c r="O127" i="32"/>
  <c r="CN107" i="12" s="1"/>
  <c r="O129" i="32"/>
  <c r="CN109" i="12" s="1"/>
  <c r="O131" i="32"/>
  <c r="CN111" i="12" s="1"/>
  <c r="O135" i="32"/>
  <c r="O137" i="32"/>
  <c r="O136" i="32"/>
  <c r="O86" i="32"/>
  <c r="AN67" i="33" s="1"/>
  <c r="O59" i="30"/>
  <c r="CA40" i="12" s="1"/>
  <c r="O59" i="28"/>
  <c r="BA40" i="12" s="1"/>
  <c r="O59" i="29"/>
  <c r="BN40" i="12" s="1"/>
  <c r="O59" i="27"/>
  <c r="AN40" i="12" s="1"/>
  <c r="O60" i="28"/>
  <c r="BA140" i="12"/>
  <c r="BA73" i="12"/>
  <c r="AN77" i="12"/>
  <c r="S157" i="33"/>
  <c r="F87" i="21"/>
  <c r="AM27" i="12"/>
  <c r="AZ27" i="12"/>
  <c r="BZ27" i="12"/>
  <c r="Z27" i="12"/>
  <c r="BM27" i="12"/>
  <c r="BN30" i="12"/>
  <c r="BN82" i="12"/>
  <c r="AN88" i="12"/>
  <c r="L73" i="30"/>
  <c r="BX54" i="12" s="1"/>
  <c r="L57" i="30"/>
  <c r="BX38" i="12" s="1"/>
  <c r="L70" i="30"/>
  <c r="BX51" i="12" s="1"/>
  <c r="L76" i="30"/>
  <c r="BX57" i="12" s="1"/>
  <c r="L57" i="27"/>
  <c r="AK38" i="12" s="1"/>
  <c r="L70" i="27"/>
  <c r="AK51" i="12" s="1"/>
  <c r="L76" i="27"/>
  <c r="AK57" i="12" s="1"/>
  <c r="L73" i="27"/>
  <c r="AK54" i="12" s="1"/>
  <c r="M64" i="28"/>
  <c r="AY28" i="12"/>
  <c r="M64" i="29"/>
  <c r="BL28" i="12"/>
  <c r="M64" i="27"/>
  <c r="AL28" i="12"/>
  <c r="M66" i="26"/>
  <c r="Y31" i="12"/>
  <c r="AL31" i="12"/>
  <c r="M66" i="27"/>
  <c r="AY31" i="12"/>
  <c r="M66" i="28"/>
  <c r="AZ29" i="12"/>
  <c r="Z29" i="12"/>
  <c r="AM29" i="12"/>
  <c r="BZ29" i="12"/>
  <c r="BM29" i="12"/>
  <c r="L70" i="26"/>
  <c r="X51" i="12" s="1"/>
  <c r="L57" i="26"/>
  <c r="L73" i="26"/>
  <c r="X54" i="12" s="1"/>
  <c r="L76" i="26"/>
  <c r="X57" i="12" s="1"/>
  <c r="L73" i="28"/>
  <c r="AX54" i="12" s="1"/>
  <c r="L76" i="28"/>
  <c r="AX57" i="12" s="1"/>
  <c r="L57" i="28"/>
  <c r="AX38" i="12" s="1"/>
  <c r="L70" i="28"/>
  <c r="AX51" i="12" s="1"/>
  <c r="L57" i="29"/>
  <c r="BK38" i="12" s="1"/>
  <c r="L70" i="29"/>
  <c r="BK51" i="12" s="1"/>
  <c r="L73" i="29"/>
  <c r="BK54" i="12" s="1"/>
  <c r="L76" i="29"/>
  <c r="BK57" i="12" s="1"/>
  <c r="G62" i="33"/>
  <c r="F11" i="21"/>
  <c r="M64" i="26"/>
  <c r="Y28" i="12"/>
  <c r="M64" i="30"/>
  <c r="BY28" i="12"/>
  <c r="M66" i="29"/>
  <c r="M66" i="30"/>
  <c r="AA88" i="12"/>
  <c r="BZ113" i="12"/>
  <c r="AL113" i="12"/>
  <c r="AY113" i="12"/>
  <c r="AA140" i="12"/>
  <c r="AN153" i="12"/>
  <c r="BA77" i="12"/>
  <c r="AN140" i="12"/>
  <c r="BA82" i="12"/>
  <c r="AO94" i="12"/>
  <c r="BA88" i="12"/>
  <c r="AN25" i="12"/>
  <c r="O60" i="27"/>
  <c r="AA153" i="12"/>
  <c r="S159" i="12"/>
  <c r="F159" i="12" s="1"/>
  <c r="E159" i="33"/>
  <c r="E162" i="33" s="1"/>
  <c r="R162" i="33"/>
  <c r="AO118" i="12"/>
  <c r="Z5" i="33"/>
  <c r="M128" i="33"/>
  <c r="AO136" i="12"/>
  <c r="AO80" i="12"/>
  <c r="AO152" i="12"/>
  <c r="AO129" i="12"/>
  <c r="AO150" i="12"/>
  <c r="AO138" i="12"/>
  <c r="AO130" i="12"/>
  <c r="AO100" i="12"/>
  <c r="AO83" i="12"/>
  <c r="AO149" i="12"/>
  <c r="AO137" i="12"/>
  <c r="AO133" i="12"/>
  <c r="AO85" i="12"/>
  <c r="AO103" i="12"/>
  <c r="AO98" i="12"/>
  <c r="AO84" i="12"/>
  <c r="AO79" i="12"/>
  <c r="AO72" i="12"/>
  <c r="AO63" i="12"/>
  <c r="AO24" i="12"/>
  <c r="AB151" i="12"/>
  <c r="AB138" i="12"/>
  <c r="AB130" i="12"/>
  <c r="AB79" i="12"/>
  <c r="AB59" i="12"/>
  <c r="AB149" i="12"/>
  <c r="AB136" i="12"/>
  <c r="AB119" i="12"/>
  <c r="AB89" i="12"/>
  <c r="AB81" i="12"/>
  <c r="AB61" i="12"/>
  <c r="AB152" i="12"/>
  <c r="AB148" i="12"/>
  <c r="AB139" i="12"/>
  <c r="AB135" i="12"/>
  <c r="AB131" i="12"/>
  <c r="AB87" i="12"/>
  <c r="AB83" i="12"/>
  <c r="AB78" i="12"/>
  <c r="AB74" i="12"/>
  <c r="AB66" i="12"/>
  <c r="AB60" i="12"/>
  <c r="AB26" i="12"/>
  <c r="BB133" i="12"/>
  <c r="BB84" i="12"/>
  <c r="BB61" i="12"/>
  <c r="BB26" i="12"/>
  <c r="BB149" i="12"/>
  <c r="BB139" i="12"/>
  <c r="BB131" i="12"/>
  <c r="BB103" i="12"/>
  <c r="BB80" i="12"/>
  <c r="BB150" i="12"/>
  <c r="BB136" i="12"/>
  <c r="BB132" i="12"/>
  <c r="BB89" i="12"/>
  <c r="BB78" i="12"/>
  <c r="BB72" i="12"/>
  <c r="BB87" i="12"/>
  <c r="BB83" i="12"/>
  <c r="BB79" i="12"/>
  <c r="BB74" i="12"/>
  <c r="BB60" i="12"/>
  <c r="AM113" i="12"/>
  <c r="Y113" i="12"/>
  <c r="I43" i="21"/>
  <c r="N72" i="29"/>
  <c r="BM53" i="12" s="1"/>
  <c r="N75" i="29"/>
  <c r="BM56" i="12" s="1"/>
  <c r="N56" i="29"/>
  <c r="BM37" i="12" s="1"/>
  <c r="N69" i="29"/>
  <c r="BM50" i="12" s="1"/>
  <c r="BM113" i="12"/>
  <c r="AA77" i="12"/>
  <c r="BN153" i="12"/>
  <c r="BN88" i="12"/>
  <c r="CA140" i="12"/>
  <c r="CA82" i="12"/>
  <c r="CA88" i="12"/>
  <c r="CA73" i="12"/>
  <c r="BO23" i="12"/>
  <c r="BO60" i="12"/>
  <c r="BO74" i="12"/>
  <c r="BO79" i="12"/>
  <c r="BO83" i="12"/>
  <c r="BO87" i="12"/>
  <c r="BO114" i="12"/>
  <c r="BO119" i="12"/>
  <c r="BO130" i="12"/>
  <c r="BO134" i="12"/>
  <c r="BO138" i="12"/>
  <c r="BO148" i="12"/>
  <c r="BO152" i="12"/>
  <c r="BO59" i="12"/>
  <c r="BO75" i="12"/>
  <c r="BO84" i="12"/>
  <c r="BO135" i="12"/>
  <c r="BO61" i="12"/>
  <c r="BO120" i="12"/>
  <c r="BO133" i="12"/>
  <c r="BO63" i="12"/>
  <c r="BO81" i="12"/>
  <c r="BO85" i="12"/>
  <c r="BO89" i="12"/>
  <c r="BO103" i="12"/>
  <c r="BO132" i="12"/>
  <c r="BO136" i="12"/>
  <c r="BO150" i="12"/>
  <c r="BO72" i="12"/>
  <c r="BO78" i="12"/>
  <c r="BO131" i="12"/>
  <c r="BO139" i="12"/>
  <c r="BO149" i="12"/>
  <c r="BO32" i="12"/>
  <c r="BO66" i="12"/>
  <c r="BO80" i="12"/>
  <c r="BO100" i="12"/>
  <c r="BO129" i="12"/>
  <c r="BO137" i="12"/>
  <c r="BO151" i="12"/>
  <c r="CB60" i="12"/>
  <c r="CB75" i="12"/>
  <c r="CB61" i="12"/>
  <c r="CB78" i="12"/>
  <c r="CB83" i="12"/>
  <c r="CB87" i="12"/>
  <c r="CB131" i="12"/>
  <c r="CB135" i="12"/>
  <c r="CB139" i="12"/>
  <c r="CB149" i="12"/>
  <c r="CB23" i="12"/>
  <c r="CB59" i="12"/>
  <c r="CB81" i="12"/>
  <c r="CB103" i="12"/>
  <c r="CB119" i="12"/>
  <c r="CB134" i="12"/>
  <c r="CB152" i="12"/>
  <c r="CB132" i="12"/>
  <c r="CB150" i="12"/>
  <c r="CB26" i="12"/>
  <c r="CB32" i="12"/>
  <c r="CB63" i="12"/>
  <c r="CB66" i="12"/>
  <c r="CB80" i="12"/>
  <c r="CB85" i="12"/>
  <c r="CB89" i="12"/>
  <c r="CB100" i="12"/>
  <c r="CB114" i="12"/>
  <c r="CB120" i="12"/>
  <c r="CB129" i="12"/>
  <c r="CB133" i="12"/>
  <c r="CB137" i="12"/>
  <c r="CB151" i="12"/>
  <c r="CB72" i="12"/>
  <c r="CB79" i="12"/>
  <c r="CB84" i="12"/>
  <c r="CB130" i="12"/>
  <c r="CB138" i="12"/>
  <c r="CB148" i="12"/>
  <c r="CB136" i="12"/>
  <c r="AO148" i="12"/>
  <c r="AO120" i="12"/>
  <c r="AO61" i="12"/>
  <c r="AO132" i="12"/>
  <c r="AO87" i="12"/>
  <c r="AO134" i="12"/>
  <c r="AO128" i="12"/>
  <c r="AO89" i="12"/>
  <c r="AO151" i="12"/>
  <c r="AO139" i="12"/>
  <c r="AO135" i="12"/>
  <c r="AO131" i="12"/>
  <c r="AO78" i="12"/>
  <c r="AO119" i="12"/>
  <c r="AO114" i="12"/>
  <c r="AO105" i="12"/>
  <c r="AO86" i="12"/>
  <c r="AO81" i="12"/>
  <c r="AO74" i="12"/>
  <c r="AO59" i="12"/>
  <c r="AO75" i="12"/>
  <c r="AO60" i="12"/>
  <c r="AO32" i="12"/>
  <c r="AO26" i="12"/>
  <c r="AB134" i="12"/>
  <c r="AB103" i="12"/>
  <c r="AB84" i="12"/>
  <c r="AB63" i="12"/>
  <c r="AB23" i="12"/>
  <c r="AB132" i="12"/>
  <c r="AB105" i="12"/>
  <c r="AB75" i="12"/>
  <c r="AB150" i="12"/>
  <c r="AB137" i="12"/>
  <c r="AB133" i="12"/>
  <c r="AB129" i="12"/>
  <c r="AB120" i="12"/>
  <c r="AB114" i="12"/>
  <c r="AB100" i="12"/>
  <c r="AB98" i="12"/>
  <c r="AB85" i="12"/>
  <c r="AB80" i="12"/>
  <c r="AB72" i="12"/>
  <c r="BB151" i="12"/>
  <c r="BB137" i="12"/>
  <c r="BB129" i="12"/>
  <c r="BB24" i="12"/>
  <c r="BB135" i="12"/>
  <c r="BB120" i="12"/>
  <c r="BB152" i="12"/>
  <c r="BB148" i="12"/>
  <c r="BB138" i="12"/>
  <c r="BB134" i="12"/>
  <c r="BB130" i="12"/>
  <c r="BB119" i="12"/>
  <c r="BB105" i="12"/>
  <c r="BB75" i="12"/>
  <c r="BB59" i="12"/>
  <c r="BB114" i="12"/>
  <c r="BB100" i="12"/>
  <c r="BB85" i="12"/>
  <c r="BB81" i="12"/>
  <c r="BB63" i="12"/>
  <c r="BB32" i="12"/>
  <c r="N56" i="28"/>
  <c r="AZ37" i="12" s="1"/>
  <c r="N69" i="28"/>
  <c r="AZ50" i="12" s="1"/>
  <c r="N72" i="28"/>
  <c r="AZ53" i="12" s="1"/>
  <c r="N75" i="28"/>
  <c r="AZ56" i="12" s="1"/>
  <c r="N75" i="26"/>
  <c r="Z56" i="12" s="1"/>
  <c r="N72" i="26"/>
  <c r="Z53" i="12" s="1"/>
  <c r="N69" i="26"/>
  <c r="Z50" i="12" s="1"/>
  <c r="N56" i="26"/>
  <c r="G11" i="33"/>
  <c r="G21" i="33" s="1"/>
  <c r="N75" i="30"/>
  <c r="BZ56" i="12" s="1"/>
  <c r="N69" i="30"/>
  <c r="BZ50" i="12" s="1"/>
  <c r="N72" i="30"/>
  <c r="BZ53" i="12" s="1"/>
  <c r="N56" i="30"/>
  <c r="BZ37" i="12" s="1"/>
  <c r="N75" i="27"/>
  <c r="AM56" i="12" s="1"/>
  <c r="N72" i="27"/>
  <c r="AM53" i="12" s="1"/>
  <c r="N69" i="27"/>
  <c r="AM50" i="12" s="1"/>
  <c r="N56" i="27"/>
  <c r="AM37" i="12" s="1"/>
  <c r="BL113" i="12"/>
  <c r="BY113" i="12"/>
  <c r="AZ113" i="12"/>
  <c r="Z113" i="12"/>
  <c r="AA82" i="12"/>
  <c r="O63" i="26"/>
  <c r="AA44" i="12" s="1"/>
  <c r="AA73" i="12"/>
  <c r="O60" i="29"/>
  <c r="BN25" i="12"/>
  <c r="BN140" i="12"/>
  <c r="O63" i="29"/>
  <c r="BN44" i="12" s="1"/>
  <c r="BN73" i="12"/>
  <c r="O63" i="30"/>
  <c r="CA44" i="12" s="1"/>
  <c r="CA25" i="12"/>
  <c r="O60" i="30"/>
  <c r="CA153" i="12"/>
  <c r="CA77" i="12"/>
  <c r="AA25" i="12"/>
  <c r="AB118" i="12"/>
  <c r="AB128" i="12"/>
  <c r="M94" i="33"/>
  <c r="M125" i="33"/>
  <c r="M118" i="33"/>
  <c r="AO12" i="12"/>
  <c r="AO7" i="12"/>
  <c r="P18" i="27"/>
  <c r="P33" i="27" s="1"/>
  <c r="AO15" i="12" s="1"/>
  <c r="K176" i="32"/>
  <c r="AJ156" i="33" s="1"/>
  <c r="J70" i="21" s="1"/>
  <c r="P34" i="29"/>
  <c r="AH159" i="33"/>
  <c r="AH162" i="33" s="1"/>
  <c r="H79" i="21" s="1"/>
  <c r="O218" i="32"/>
  <c r="N165" i="33"/>
  <c r="N166" i="33" s="1"/>
  <c r="AA166" i="33"/>
  <c r="BB12" i="12"/>
  <c r="P18" i="28"/>
  <c r="P33" i="28" s="1"/>
  <c r="BB15" i="12" s="1"/>
  <c r="BB7" i="12"/>
  <c r="BB9" i="12"/>
  <c r="BB8" i="12"/>
  <c r="O17" i="32"/>
  <c r="O19" i="32"/>
  <c r="O20" i="32"/>
  <c r="P26" i="26"/>
  <c r="AB8" i="12" s="1"/>
  <c r="AB9" i="12"/>
  <c r="AB7" i="12"/>
  <c r="AB12" i="12"/>
  <c r="P18" i="26"/>
  <c r="P33" i="26" s="1"/>
  <c r="AB15" i="12" s="1"/>
  <c r="O34" i="26"/>
  <c r="O34" i="27"/>
  <c r="P181" i="32"/>
  <c r="P182" i="32" s="1"/>
  <c r="P113" i="32" s="1"/>
  <c r="AO93" i="33" s="1"/>
  <c r="AB165" i="33"/>
  <c r="BA6" i="12"/>
  <c r="O34" i="28"/>
  <c r="L41" i="33" l="1"/>
  <c r="O93" i="33"/>
  <c r="M44" i="33"/>
  <c r="L56" i="33"/>
  <c r="N6" i="12"/>
  <c r="O23" i="32" s="1"/>
  <c r="M25" i="33"/>
  <c r="L43" i="33"/>
  <c r="L53" i="33"/>
  <c r="O50" i="32"/>
  <c r="AN29" i="33"/>
  <c r="O66" i="32"/>
  <c r="O47" i="32"/>
  <c r="O63" i="32"/>
  <c r="AN26" i="33"/>
  <c r="AM49" i="33"/>
  <c r="N81" i="32"/>
  <c r="AM62" i="33" s="1"/>
  <c r="O44" i="32"/>
  <c r="AN23" i="33"/>
  <c r="O60" i="32"/>
  <c r="L37" i="33"/>
  <c r="AL49" i="33"/>
  <c r="M81" i="32"/>
  <c r="AL62" i="33" s="1"/>
  <c r="P42" i="32"/>
  <c r="P45" i="32"/>
  <c r="P48" i="32"/>
  <c r="AT159" i="12"/>
  <c r="AT162" i="12" s="1"/>
  <c r="G82" i="21" s="1"/>
  <c r="G118" i="21" s="1"/>
  <c r="P84" i="27"/>
  <c r="P24" i="27"/>
  <c r="AO6" i="12" s="1"/>
  <c r="P84" i="26"/>
  <c r="AB65" i="12" s="1"/>
  <c r="P24" i="26"/>
  <c r="P84" i="28"/>
  <c r="BB65" i="12" s="1"/>
  <c r="P24" i="28"/>
  <c r="BB6" i="12" s="1"/>
  <c r="F100" i="21"/>
  <c r="H108" i="21"/>
  <c r="BG159" i="12"/>
  <c r="BG162" i="12" s="1"/>
  <c r="H111" i="21"/>
  <c r="G109" i="21"/>
  <c r="AU157" i="12"/>
  <c r="H91" i="21" s="1"/>
  <c r="H73" i="21"/>
  <c r="F117" i="21"/>
  <c r="F99" i="21"/>
  <c r="P55" i="27"/>
  <c r="K112" i="21"/>
  <c r="H103" i="21"/>
  <c r="H121" i="21"/>
  <c r="CJ159" i="12"/>
  <c r="CJ162" i="12" s="1"/>
  <c r="I85" i="21"/>
  <c r="H115" i="21"/>
  <c r="H97" i="21"/>
  <c r="E116" i="21"/>
  <c r="E98" i="21"/>
  <c r="BH157" i="12"/>
  <c r="H92" i="21" s="1"/>
  <c r="H74" i="21"/>
  <c r="G102" i="21"/>
  <c r="G120" i="21"/>
  <c r="F101" i="21"/>
  <c r="F119" i="21"/>
  <c r="L65" i="33"/>
  <c r="BB5" i="12"/>
  <c r="P96" i="28"/>
  <c r="AB5" i="12"/>
  <c r="O25" i="32"/>
  <c r="AN7" i="33" s="1"/>
  <c r="O30" i="32"/>
  <c r="AN12" i="33" s="1"/>
  <c r="N12" i="33" s="1"/>
  <c r="O27" i="32"/>
  <c r="AN9" i="33" s="1"/>
  <c r="N9" i="33" s="1"/>
  <c r="K49" i="12"/>
  <c r="X49" i="33" s="1"/>
  <c r="K49" i="33" s="1"/>
  <c r="AO5" i="12"/>
  <c r="AO76" i="12"/>
  <c r="O76" i="12" s="1"/>
  <c r="AB76" i="33" s="1"/>
  <c r="O76" i="33" s="1"/>
  <c r="L81" i="27"/>
  <c r="P96" i="26"/>
  <c r="P111" i="32"/>
  <c r="P112" i="32"/>
  <c r="P110" i="32"/>
  <c r="J49" i="12"/>
  <c r="W49" i="33" s="1"/>
  <c r="J49" i="33" s="1"/>
  <c r="L81" i="28"/>
  <c r="L81" i="29"/>
  <c r="L81" i="30"/>
  <c r="CN49" i="12"/>
  <c r="O81" i="34"/>
  <c r="CN62" i="12" s="1"/>
  <c r="Z37" i="12"/>
  <c r="M37" i="12" s="1"/>
  <c r="Z37" i="33" s="1"/>
  <c r="M37" i="33" s="1"/>
  <c r="X38" i="12"/>
  <c r="K38" i="12" s="1"/>
  <c r="X38" i="33" s="1"/>
  <c r="K38" i="33" s="1"/>
  <c r="L81" i="26"/>
  <c r="O118" i="12"/>
  <c r="AB118" i="33" s="1"/>
  <c r="L6" i="33"/>
  <c r="N176" i="34"/>
  <c r="N177" i="34" s="1"/>
  <c r="CM157" i="12" s="1"/>
  <c r="M94" i="21" s="1"/>
  <c r="N24" i="32"/>
  <c r="AM6" i="33" s="1"/>
  <c r="AM5" i="33"/>
  <c r="M5" i="33" s="1"/>
  <c r="N84" i="32"/>
  <c r="AM65" i="33" s="1"/>
  <c r="O8" i="12"/>
  <c r="AB8" i="33" s="1"/>
  <c r="M16" i="12"/>
  <c r="Z16" i="33" s="1"/>
  <c r="N65" i="12"/>
  <c r="AA65" i="33" s="1"/>
  <c r="O94" i="12"/>
  <c r="AB94" i="33" s="1"/>
  <c r="O98" i="12"/>
  <c r="O128" i="12"/>
  <c r="AB128" i="33" s="1"/>
  <c r="K36" i="12"/>
  <c r="X36" i="33" s="1"/>
  <c r="M42" i="12"/>
  <c r="Z42" i="33" s="1"/>
  <c r="M42" i="33" s="1"/>
  <c r="N82" i="12"/>
  <c r="K46" i="12"/>
  <c r="X46" i="33" s="1"/>
  <c r="K46" i="33" s="1"/>
  <c r="O80" i="12"/>
  <c r="AB80" i="33" s="1"/>
  <c r="O80" i="33" s="1"/>
  <c r="O84" i="12"/>
  <c r="N39" i="30"/>
  <c r="BZ21" i="12" s="1"/>
  <c r="M56" i="21" s="1"/>
  <c r="M47" i="21" s="1"/>
  <c r="BU159" i="12"/>
  <c r="BU162" i="12" s="1"/>
  <c r="H84" i="21" s="1"/>
  <c r="K45" i="12"/>
  <c r="X45" i="33" s="1"/>
  <c r="K45" i="33" s="1"/>
  <c r="K28" i="12"/>
  <c r="X28" i="33" s="1"/>
  <c r="K28" i="33" s="1"/>
  <c r="O133" i="12"/>
  <c r="AB133" i="33" s="1"/>
  <c r="O133" i="33" s="1"/>
  <c r="CO31" i="12"/>
  <c r="P74" i="34"/>
  <c r="CO55" i="12" s="1"/>
  <c r="P71" i="34"/>
  <c r="CO52" i="12" s="1"/>
  <c r="P58" i="34"/>
  <c r="CO39" i="12" s="1"/>
  <c r="P77" i="34"/>
  <c r="CO58" i="12" s="1"/>
  <c r="O103" i="12"/>
  <c r="AB103" i="33" s="1"/>
  <c r="O103" i="33" s="1"/>
  <c r="O114" i="12"/>
  <c r="CO28" i="12"/>
  <c r="P57" i="34"/>
  <c r="CO38" i="12" s="1"/>
  <c r="P76" i="34"/>
  <c r="CO57" i="12" s="1"/>
  <c r="P70" i="34"/>
  <c r="CO51" i="12" s="1"/>
  <c r="P73" i="34"/>
  <c r="CO54" i="12" s="1"/>
  <c r="CO36" i="12"/>
  <c r="CO44" i="12"/>
  <c r="P65" i="34"/>
  <c r="CO46" i="12" s="1"/>
  <c r="N24" i="12"/>
  <c r="AA24" i="33" s="1"/>
  <c r="N24" i="33" s="1"/>
  <c r="N141" i="12"/>
  <c r="AA141" i="33" s="1"/>
  <c r="N141" i="33" s="1"/>
  <c r="O63" i="12"/>
  <c r="CO25" i="12"/>
  <c r="P75" i="34"/>
  <c r="CO56" i="12" s="1"/>
  <c r="P72" i="34"/>
  <c r="CO53" i="12" s="1"/>
  <c r="P69" i="34"/>
  <c r="CO50" i="12" s="1"/>
  <c r="P56" i="34"/>
  <c r="P62" i="34"/>
  <c r="CO43" i="12" s="1"/>
  <c r="CO41" i="12"/>
  <c r="O136" i="12"/>
  <c r="AB136" i="33" s="1"/>
  <c r="O136" i="33" s="1"/>
  <c r="O75" i="12"/>
  <c r="AB75" i="33" s="1"/>
  <c r="O75" i="33" s="1"/>
  <c r="O134" i="12"/>
  <c r="AB134" i="33" s="1"/>
  <c r="O134" i="33" s="1"/>
  <c r="O149" i="12"/>
  <c r="AB149" i="33" s="1"/>
  <c r="O149" i="33" s="1"/>
  <c r="M29" i="12"/>
  <c r="Z29" i="33" s="1"/>
  <c r="M29" i="33" s="1"/>
  <c r="M27" i="12"/>
  <c r="Z27" i="33" s="1"/>
  <c r="M27" i="33" s="1"/>
  <c r="N105" i="12"/>
  <c r="AA105" i="33" s="1"/>
  <c r="N105" i="33" s="1"/>
  <c r="CN37" i="12"/>
  <c r="P68" i="34"/>
  <c r="CO47" i="12"/>
  <c r="O139" i="12"/>
  <c r="AB139" i="33" s="1"/>
  <c r="O139" i="33" s="1"/>
  <c r="O83" i="32"/>
  <c r="AN64" i="33" s="1"/>
  <c r="O15" i="12"/>
  <c r="AB15" i="33" s="1"/>
  <c r="N73" i="12"/>
  <c r="AA73" i="33" s="1"/>
  <c r="O12" i="12"/>
  <c r="AB12" i="33" s="1"/>
  <c r="N44" i="12"/>
  <c r="AA44" i="33" s="1"/>
  <c r="M50" i="12"/>
  <c r="Z50" i="33" s="1"/>
  <c r="M50" i="33" s="1"/>
  <c r="O120" i="12"/>
  <c r="O132" i="12"/>
  <c r="AB132" i="33" s="1"/>
  <c r="O132" i="33" s="1"/>
  <c r="O78" i="12"/>
  <c r="AB78" i="33" s="1"/>
  <c r="O78" i="33" s="1"/>
  <c r="O61" i="12"/>
  <c r="AB61" i="33" s="1"/>
  <c r="O61" i="33" s="1"/>
  <c r="O130" i="12"/>
  <c r="AB130" i="33" s="1"/>
  <c r="O130" i="33" s="1"/>
  <c r="L28" i="12"/>
  <c r="Y28" i="33" s="1"/>
  <c r="L28" i="33" s="1"/>
  <c r="M41" i="12"/>
  <c r="Z41" i="33" s="1"/>
  <c r="M41" i="33" s="1"/>
  <c r="O60" i="12"/>
  <c r="AB60" i="33" s="1"/>
  <c r="O60" i="33" s="1"/>
  <c r="M53" i="12"/>
  <c r="Z53" i="33" s="1"/>
  <c r="M53" i="33" s="1"/>
  <c r="O72" i="12"/>
  <c r="AB72" i="33" s="1"/>
  <c r="O72" i="33" s="1"/>
  <c r="O129" i="12"/>
  <c r="AB129" i="33" s="1"/>
  <c r="O129" i="33" s="1"/>
  <c r="O83" i="12"/>
  <c r="O81" i="12"/>
  <c r="AB81" i="33" s="1"/>
  <c r="O81" i="33" s="1"/>
  <c r="O138" i="12"/>
  <c r="AB138" i="33" s="1"/>
  <c r="O138" i="33" s="1"/>
  <c r="O125" i="12"/>
  <c r="AB125" i="33" s="1"/>
  <c r="N88" i="12"/>
  <c r="K57" i="12"/>
  <c r="X57" i="33" s="1"/>
  <c r="K57" i="33" s="1"/>
  <c r="M43" i="12"/>
  <c r="Z43" i="33" s="1"/>
  <c r="M43" i="33" s="1"/>
  <c r="M56" i="12"/>
  <c r="Z56" i="33" s="1"/>
  <c r="M56" i="33" s="1"/>
  <c r="O87" i="12"/>
  <c r="AB87" i="33" s="1"/>
  <c r="O87" i="33" s="1"/>
  <c r="O89" i="12"/>
  <c r="O151" i="12"/>
  <c r="AB151" i="33" s="1"/>
  <c r="O151" i="33" s="1"/>
  <c r="N153" i="12"/>
  <c r="AA153" i="33" s="1"/>
  <c r="K54" i="12"/>
  <c r="X54" i="33" s="1"/>
  <c r="K54" i="33" s="1"/>
  <c r="M30" i="12"/>
  <c r="Z30" i="33" s="1"/>
  <c r="M30" i="33" s="1"/>
  <c r="O35" i="12"/>
  <c r="AB35" i="33" s="1"/>
  <c r="O35" i="33" s="1"/>
  <c r="N144" i="12"/>
  <c r="N39" i="29"/>
  <c r="BM21" i="12" s="1"/>
  <c r="N140" i="12"/>
  <c r="O7" i="12"/>
  <c r="O9" i="12"/>
  <c r="AB9" i="33" s="1"/>
  <c r="O85" i="12"/>
  <c r="O137" i="12"/>
  <c r="AB137" i="33" s="1"/>
  <c r="O137" i="33" s="1"/>
  <c r="O131" i="12"/>
  <c r="AB131" i="33" s="1"/>
  <c r="O131" i="33" s="1"/>
  <c r="O119" i="12"/>
  <c r="M48" i="12"/>
  <c r="Z48" i="33" s="1"/>
  <c r="M48" i="33" s="1"/>
  <c r="I62" i="12"/>
  <c r="V62" i="33" s="1"/>
  <c r="O34" i="12"/>
  <c r="AB34" i="33" s="1"/>
  <c r="O34" i="33" s="1"/>
  <c r="N66" i="12"/>
  <c r="AA66" i="33" s="1"/>
  <c r="N66" i="33" s="1"/>
  <c r="O150" i="12"/>
  <c r="AB150" i="33" s="1"/>
  <c r="O150" i="33" s="1"/>
  <c r="O135" i="12"/>
  <c r="AB135" i="33" s="1"/>
  <c r="O135" i="33" s="1"/>
  <c r="K51" i="12"/>
  <c r="X51" i="33" s="1"/>
  <c r="K51" i="33" s="1"/>
  <c r="L102" i="12"/>
  <c r="Y102" i="33" s="1"/>
  <c r="L102" i="33" s="1"/>
  <c r="AA78" i="33"/>
  <c r="N78" i="33" s="1"/>
  <c r="O100" i="12"/>
  <c r="AB100" i="33" s="1"/>
  <c r="O148" i="12"/>
  <c r="AB148" i="33" s="1"/>
  <c r="O148" i="33" s="1"/>
  <c r="O59" i="12"/>
  <c r="AB59" i="33" s="1"/>
  <c r="O59" i="33" s="1"/>
  <c r="AA74" i="33"/>
  <c r="N74" i="33" s="1"/>
  <c r="N42" i="12"/>
  <c r="AA42" i="33" s="1"/>
  <c r="N42" i="33" s="1"/>
  <c r="M102" i="12"/>
  <c r="Z102" i="33" s="1"/>
  <c r="M102" i="33" s="1"/>
  <c r="O33" i="12"/>
  <c r="AB33" i="33" s="1"/>
  <c r="O33" i="33" s="1"/>
  <c r="N77" i="12"/>
  <c r="O152" i="12"/>
  <c r="AB152" i="33" s="1"/>
  <c r="O152" i="33" s="1"/>
  <c r="O79" i="12"/>
  <c r="AB79" i="33" s="1"/>
  <c r="O79" i="33" s="1"/>
  <c r="N40" i="12"/>
  <c r="AA40" i="33" s="1"/>
  <c r="N40" i="33" s="1"/>
  <c r="O143" i="12"/>
  <c r="AB143" i="33" s="1"/>
  <c r="O143" i="33" s="1"/>
  <c r="J11" i="12"/>
  <c r="W11" i="33" s="1"/>
  <c r="N26" i="12"/>
  <c r="AA26" i="33" s="1"/>
  <c r="N23" i="12"/>
  <c r="AA23" i="33" s="1"/>
  <c r="M113" i="12"/>
  <c r="BV156" i="12"/>
  <c r="K39" i="26"/>
  <c r="W21" i="12" s="1"/>
  <c r="J21" i="12" s="1"/>
  <c r="W21" i="33" s="1"/>
  <c r="T156" i="33"/>
  <c r="G156" i="33" s="1"/>
  <c r="G157" i="33" s="1"/>
  <c r="N32" i="12"/>
  <c r="AA32" i="33" s="1"/>
  <c r="N32" i="33" s="1"/>
  <c r="L113" i="12"/>
  <c r="H156" i="12"/>
  <c r="H157" i="12" s="1"/>
  <c r="M177" i="34"/>
  <c r="CL157" i="12" s="1"/>
  <c r="L94" i="21" s="1"/>
  <c r="CL156" i="12"/>
  <c r="L76" i="21" s="1"/>
  <c r="CN64" i="12"/>
  <c r="AL106" i="12"/>
  <c r="L106" i="12" s="1"/>
  <c r="AK11" i="12"/>
  <c r="Y64" i="33"/>
  <c r="L64" i="33" s="1"/>
  <c r="O38" i="32"/>
  <c r="AN17" i="33"/>
  <c r="N17" i="33" s="1"/>
  <c r="W113" i="33"/>
  <c r="J113" i="33" s="1"/>
  <c r="Z64" i="33"/>
  <c r="M64" i="33" s="1"/>
  <c r="AB99" i="33"/>
  <c r="O99" i="33" s="1"/>
  <c r="AB121" i="33"/>
  <c r="O121" i="33" s="1"/>
  <c r="X106" i="33"/>
  <c r="K106" i="33" s="1"/>
  <c r="AA85" i="33"/>
  <c r="N85" i="33" s="1"/>
  <c r="AA63" i="33"/>
  <c r="N63" i="33" s="1"/>
  <c r="Y153" i="33"/>
  <c r="L153" i="33" s="1"/>
  <c r="AA84" i="33"/>
  <c r="N84" i="33" s="1"/>
  <c r="Z140" i="33"/>
  <c r="M140" i="33" s="1"/>
  <c r="AA100" i="33"/>
  <c r="N100" i="33" s="1"/>
  <c r="AN90" i="33"/>
  <c r="N90" i="33" s="1"/>
  <c r="AN91" i="33"/>
  <c r="N91" i="33" s="1"/>
  <c r="AN116" i="33"/>
  <c r="N116" i="33" s="1"/>
  <c r="AN115" i="33"/>
  <c r="N115" i="33" s="1"/>
  <c r="AN109" i="33"/>
  <c r="AN146" i="33"/>
  <c r="N146" i="33" s="1"/>
  <c r="AN124" i="33"/>
  <c r="N124" i="33" s="1"/>
  <c r="AN112" i="33"/>
  <c r="AN108" i="33"/>
  <c r="AN126" i="33"/>
  <c r="N126" i="33" s="1"/>
  <c r="AA83" i="33"/>
  <c r="N83" i="33" s="1"/>
  <c r="AA89" i="33"/>
  <c r="N89" i="33" s="1"/>
  <c r="Z88" i="33"/>
  <c r="M88" i="33" s="1"/>
  <c r="AA98" i="33"/>
  <c r="N98" i="33" s="1"/>
  <c r="AA114" i="33"/>
  <c r="N114" i="33" s="1"/>
  <c r="AN92" i="33"/>
  <c r="N92" i="33" s="1"/>
  <c r="AN117" i="33"/>
  <c r="N117" i="33" s="1"/>
  <c r="AN111" i="33"/>
  <c r="AN107" i="33"/>
  <c r="AN127" i="33"/>
  <c r="N127" i="33" s="1"/>
  <c r="AN122" i="33"/>
  <c r="N122" i="33" s="1"/>
  <c r="AN110" i="33"/>
  <c r="AN145" i="33"/>
  <c r="N145" i="33" s="1"/>
  <c r="AN123" i="33"/>
  <c r="N123" i="33" s="1"/>
  <c r="CA11" i="12"/>
  <c r="CA10" i="12"/>
  <c r="BN11" i="12"/>
  <c r="BN10" i="12"/>
  <c r="Z73" i="33"/>
  <c r="M73" i="33" s="1"/>
  <c r="Z77" i="33"/>
  <c r="M77" i="33" s="1"/>
  <c r="AZ11" i="12"/>
  <c r="AZ10" i="12"/>
  <c r="AX11" i="12"/>
  <c r="AX10" i="12"/>
  <c r="K10" i="12" s="1"/>
  <c r="X10" i="33" s="1"/>
  <c r="K10" i="33" s="1"/>
  <c r="AM16" i="33"/>
  <c r="BA16" i="12"/>
  <c r="AN16" i="12"/>
  <c r="Z6" i="33"/>
  <c r="Z65" i="33"/>
  <c r="BO16" i="12"/>
  <c r="AA16" i="12"/>
  <c r="AL16" i="33"/>
  <c r="L16" i="33" s="1"/>
  <c r="M39" i="32"/>
  <c r="AL21" i="33" s="1"/>
  <c r="N39" i="27"/>
  <c r="AM21" i="12" s="1"/>
  <c r="Z82" i="33"/>
  <c r="M82" i="33" s="1"/>
  <c r="AA120" i="33"/>
  <c r="N120" i="33" s="1"/>
  <c r="AA119" i="33"/>
  <c r="N119" i="33" s="1"/>
  <c r="Z144" i="33"/>
  <c r="M144" i="33" s="1"/>
  <c r="W36" i="33"/>
  <c r="J36" i="33" s="1"/>
  <c r="J12" i="21" s="1"/>
  <c r="F105" i="21"/>
  <c r="AZ106" i="12"/>
  <c r="M106" i="12" s="1"/>
  <c r="O67" i="29"/>
  <c r="BN48" i="12" s="1"/>
  <c r="O62" i="26"/>
  <c r="AA43" i="12" s="1"/>
  <c r="O75" i="28"/>
  <c r="BA56" i="12" s="1"/>
  <c r="O56" i="28"/>
  <c r="BA37" i="12" s="1"/>
  <c r="Y10" i="12"/>
  <c r="AA7" i="33"/>
  <c r="L29" i="26"/>
  <c r="AB144" i="12"/>
  <c r="H42" i="21"/>
  <c r="BB88" i="12"/>
  <c r="BB86" i="12"/>
  <c r="AO73" i="12"/>
  <c r="AO66" i="12"/>
  <c r="O92" i="32"/>
  <c r="AN73" i="33" s="1"/>
  <c r="N67" i="33"/>
  <c r="BO144" i="12"/>
  <c r="BO142" i="12"/>
  <c r="K177" i="32"/>
  <c r="AJ157" i="33" s="1"/>
  <c r="J88" i="21" s="1"/>
  <c r="J106" i="21" s="1"/>
  <c r="AO65" i="12"/>
  <c r="BB73" i="12"/>
  <c r="BB66" i="12"/>
  <c r="CB88" i="12"/>
  <c r="CB86" i="12"/>
  <c r="BO88" i="12"/>
  <c r="BO86" i="12"/>
  <c r="AO144" i="12"/>
  <c r="AO142" i="12"/>
  <c r="BB144" i="12"/>
  <c r="BB142" i="12"/>
  <c r="CB141" i="12"/>
  <c r="O141" i="12" s="1"/>
  <c r="CB144" i="12"/>
  <c r="AB88" i="12"/>
  <c r="AB86" i="12"/>
  <c r="O62" i="27"/>
  <c r="AN43" i="12" s="1"/>
  <c r="AN41" i="12"/>
  <c r="M65" i="27"/>
  <c r="AL46" i="12" s="1"/>
  <c r="AL45" i="12"/>
  <c r="O67" i="27"/>
  <c r="AN48" i="12" s="1"/>
  <c r="AN30" i="12"/>
  <c r="M68" i="27"/>
  <c r="AL47" i="12"/>
  <c r="AJ62" i="12"/>
  <c r="K176" i="27"/>
  <c r="AJ156" i="12" s="1"/>
  <c r="J72" i="21" s="1"/>
  <c r="AI156" i="12"/>
  <c r="J177" i="27"/>
  <c r="P59" i="26"/>
  <c r="AB40" i="12" s="1"/>
  <c r="AB32" i="12"/>
  <c r="W62" i="12"/>
  <c r="K176" i="26"/>
  <c r="W156" i="12" s="1"/>
  <c r="J71" i="21" s="1"/>
  <c r="O67" i="26"/>
  <c r="AA48" i="12" s="1"/>
  <c r="AA30" i="12"/>
  <c r="V156" i="12"/>
  <c r="I71" i="21" s="1"/>
  <c r="J177" i="26"/>
  <c r="M65" i="26"/>
  <c r="Y46" i="12" s="1"/>
  <c r="Y45" i="12"/>
  <c r="M68" i="26"/>
  <c r="Y49" i="12" s="1"/>
  <c r="Y47" i="12"/>
  <c r="CB77" i="12"/>
  <c r="CB74" i="12"/>
  <c r="O74" i="12" s="1"/>
  <c r="P60" i="28"/>
  <c r="BB41" i="12" s="1"/>
  <c r="BB23" i="12"/>
  <c r="M65" i="28"/>
  <c r="AY46" i="12" s="1"/>
  <c r="AY45" i="12"/>
  <c r="O67" i="28"/>
  <c r="BA48" i="12" s="1"/>
  <c r="BA30" i="12"/>
  <c r="O72" i="28"/>
  <c r="BA53" i="12" s="1"/>
  <c r="BA25" i="12"/>
  <c r="M68" i="28"/>
  <c r="AY49" i="12" s="1"/>
  <c r="AY47" i="12"/>
  <c r="AW62" i="12"/>
  <c r="K176" i="28"/>
  <c r="O62" i="28"/>
  <c r="BA43" i="12" s="1"/>
  <c r="BA41" i="12"/>
  <c r="AV156" i="12"/>
  <c r="I73" i="21" s="1"/>
  <c r="J177" i="28"/>
  <c r="J177" i="30"/>
  <c r="O62" i="30"/>
  <c r="CA43" i="12" s="1"/>
  <c r="CA41" i="12"/>
  <c r="P61" i="30"/>
  <c r="CB42" i="12" s="1"/>
  <c r="CB24" i="12"/>
  <c r="M68" i="30"/>
  <c r="BY47" i="12"/>
  <c r="M65" i="30"/>
  <c r="BY46" i="12" s="1"/>
  <c r="BY45" i="12"/>
  <c r="BW62" i="12"/>
  <c r="K176" i="30"/>
  <c r="BW156" i="12" s="1"/>
  <c r="BY36" i="12"/>
  <c r="BY31" i="12"/>
  <c r="O67" i="30"/>
  <c r="CA48" i="12" s="1"/>
  <c r="CA30" i="12"/>
  <c r="H67" i="21"/>
  <c r="O62" i="29"/>
  <c r="BN43" i="12" s="1"/>
  <c r="BN41" i="12"/>
  <c r="P63" i="29"/>
  <c r="BO44" i="12" s="1"/>
  <c r="BO26" i="12"/>
  <c r="O26" i="12" s="1"/>
  <c r="BL36" i="12"/>
  <c r="BL31" i="12"/>
  <c r="BI156" i="12"/>
  <c r="J177" i="29"/>
  <c r="P61" i="29"/>
  <c r="BO42" i="12" s="1"/>
  <c r="BO24" i="12"/>
  <c r="M68" i="29"/>
  <c r="BL47" i="12"/>
  <c r="BJ62" i="12"/>
  <c r="K176" i="29"/>
  <c r="M65" i="29"/>
  <c r="BL46" i="12" s="1"/>
  <c r="BL45" i="12"/>
  <c r="J54" i="21"/>
  <c r="J45" i="21" s="1"/>
  <c r="H50" i="21"/>
  <c r="BO105" i="12"/>
  <c r="CB105" i="12"/>
  <c r="J55" i="21"/>
  <c r="J46" i="21" s="1"/>
  <c r="J48" i="21"/>
  <c r="I48" i="21"/>
  <c r="Y36" i="12"/>
  <c r="O114" i="32"/>
  <c r="O138" i="32"/>
  <c r="O148" i="32"/>
  <c r="P142" i="32"/>
  <c r="P144" i="32"/>
  <c r="P147" i="32"/>
  <c r="P166" i="32"/>
  <c r="P127" i="32"/>
  <c r="CO107" i="12" s="1"/>
  <c r="P129" i="32"/>
  <c r="CO109" i="12" s="1"/>
  <c r="P131" i="32"/>
  <c r="CO111" i="12" s="1"/>
  <c r="P143" i="32"/>
  <c r="P146" i="32"/>
  <c r="P165" i="32"/>
  <c r="P128" i="32"/>
  <c r="CO108" i="12" s="1"/>
  <c r="P130" i="32"/>
  <c r="CO110" i="12" s="1"/>
  <c r="P132" i="32"/>
  <c r="CO112" i="12" s="1"/>
  <c r="P136" i="32"/>
  <c r="P135" i="32"/>
  <c r="AO115" i="33" s="1"/>
  <c r="P137" i="32"/>
  <c r="P86" i="32"/>
  <c r="AO67" i="33" s="1"/>
  <c r="O133" i="32"/>
  <c r="AN113" i="33" s="1"/>
  <c r="O145" i="32"/>
  <c r="AN125" i="33" s="1"/>
  <c r="N125" i="33" s="1"/>
  <c r="O173" i="32"/>
  <c r="AN153" i="33" s="1"/>
  <c r="P59" i="30"/>
  <c r="CB40" i="12" s="1"/>
  <c r="P59" i="28"/>
  <c r="BB40" i="12" s="1"/>
  <c r="AY36" i="12"/>
  <c r="P59" i="29"/>
  <c r="BO40" i="12" s="1"/>
  <c r="P59" i="27"/>
  <c r="AO40" i="12" s="1"/>
  <c r="AL36" i="12"/>
  <c r="BB153" i="12"/>
  <c r="CB30" i="12"/>
  <c r="G11" i="21"/>
  <c r="H62" i="33"/>
  <c r="N66" i="29"/>
  <c r="BM31" i="12"/>
  <c r="N66" i="27"/>
  <c r="AM31" i="12"/>
  <c r="AZ31" i="12"/>
  <c r="N66" i="28"/>
  <c r="M74" i="26"/>
  <c r="Y55" i="12" s="1"/>
  <c r="M77" i="26"/>
  <c r="Y58" i="12" s="1"/>
  <c r="M58" i="26"/>
  <c r="Y39" i="12" s="1"/>
  <c r="M71" i="26"/>
  <c r="Y52" i="12" s="1"/>
  <c r="M76" i="27"/>
  <c r="AL57" i="12" s="1"/>
  <c r="M57" i="27"/>
  <c r="AL38" i="12" s="1"/>
  <c r="M73" i="27"/>
  <c r="AL54" i="12" s="1"/>
  <c r="M70" i="27"/>
  <c r="AL51" i="12" s="1"/>
  <c r="M57" i="29"/>
  <c r="BL38" i="12" s="1"/>
  <c r="M70" i="29"/>
  <c r="BL51" i="12" s="1"/>
  <c r="M73" i="29"/>
  <c r="BL54" i="12" s="1"/>
  <c r="M76" i="29"/>
  <c r="BL57" i="12" s="1"/>
  <c r="M73" i="28"/>
  <c r="AY54" i="12" s="1"/>
  <c r="M57" i="28"/>
  <c r="AY38" i="12" s="1"/>
  <c r="M70" i="28"/>
  <c r="AY51" i="12" s="1"/>
  <c r="M76" i="28"/>
  <c r="AY57" i="12" s="1"/>
  <c r="AG162" i="12"/>
  <c r="G81" i="21" s="1"/>
  <c r="T157" i="33"/>
  <c r="N64" i="26"/>
  <c r="Z28" i="12"/>
  <c r="N64" i="28"/>
  <c r="AZ28" i="12"/>
  <c r="BA29" i="12"/>
  <c r="CA29" i="12"/>
  <c r="AA29" i="12"/>
  <c r="AN29" i="12"/>
  <c r="BN29" i="12"/>
  <c r="AN27" i="12"/>
  <c r="BA27" i="12"/>
  <c r="CA27" i="12"/>
  <c r="AA27" i="12"/>
  <c r="BN27" i="12"/>
  <c r="M71" i="30"/>
  <c r="BY52" i="12" s="1"/>
  <c r="M77" i="30"/>
  <c r="BY58" i="12" s="1"/>
  <c r="M74" i="30"/>
  <c r="BY55" i="12" s="1"/>
  <c r="M58" i="30"/>
  <c r="BY39" i="12" s="1"/>
  <c r="M58" i="29"/>
  <c r="BL39" i="12" s="1"/>
  <c r="M71" i="29"/>
  <c r="BL52" i="12" s="1"/>
  <c r="M74" i="29"/>
  <c r="BL55" i="12" s="1"/>
  <c r="M77" i="29"/>
  <c r="BL58" i="12" s="1"/>
  <c r="M57" i="30"/>
  <c r="BY38" i="12" s="1"/>
  <c r="M76" i="30"/>
  <c r="BY57" i="12" s="1"/>
  <c r="M73" i="30"/>
  <c r="BY54" i="12" s="1"/>
  <c r="M70" i="30"/>
  <c r="BY51" i="12" s="1"/>
  <c r="M73" i="26"/>
  <c r="Y54" i="12" s="1"/>
  <c r="M57" i="26"/>
  <c r="M70" i="26"/>
  <c r="Y51" i="12" s="1"/>
  <c r="M76" i="26"/>
  <c r="Y57" i="12" s="1"/>
  <c r="N66" i="30"/>
  <c r="BZ31" i="12"/>
  <c r="N66" i="26"/>
  <c r="M58" i="28"/>
  <c r="AY39" i="12" s="1"/>
  <c r="M74" i="28"/>
  <c r="M71" i="28"/>
  <c r="AY52" i="12" s="1"/>
  <c r="M77" i="28"/>
  <c r="AY58" i="12" s="1"/>
  <c r="M71" i="27"/>
  <c r="AL52" i="12" s="1"/>
  <c r="M74" i="27"/>
  <c r="AL55" i="12" s="1"/>
  <c r="M58" i="27"/>
  <c r="AL39" i="12" s="1"/>
  <c r="M77" i="27"/>
  <c r="AL58" i="12" s="1"/>
  <c r="G63" i="21"/>
  <c r="G69" i="21"/>
  <c r="G59" i="21" s="1"/>
  <c r="G61" i="21"/>
  <c r="BM28" i="12"/>
  <c r="N64" i="29"/>
  <c r="N64" i="30"/>
  <c r="BZ28" i="12"/>
  <c r="N64" i="27"/>
  <c r="AM28" i="12"/>
  <c r="AO153" i="12"/>
  <c r="CB73" i="12"/>
  <c r="AB73" i="12"/>
  <c r="O69" i="27"/>
  <c r="AN50" i="12" s="1"/>
  <c r="O72" i="27"/>
  <c r="AN53" i="12" s="1"/>
  <c r="O56" i="27"/>
  <c r="AN37" i="12" s="1"/>
  <c r="O75" i="27"/>
  <c r="AN56" i="12" s="1"/>
  <c r="AB153" i="12"/>
  <c r="S162" i="12"/>
  <c r="S159" i="33"/>
  <c r="E78" i="21"/>
  <c r="BA107" i="12"/>
  <c r="AN107" i="12"/>
  <c r="CA107" i="12"/>
  <c r="AA107" i="12"/>
  <c r="BN107" i="12"/>
  <c r="O75" i="29"/>
  <c r="BN56" i="12" s="1"/>
  <c r="O69" i="29"/>
  <c r="BN50" i="12" s="1"/>
  <c r="O72" i="29"/>
  <c r="BN53" i="12" s="1"/>
  <c r="O56" i="29"/>
  <c r="BN37" i="12" s="1"/>
  <c r="BB25" i="12"/>
  <c r="P61" i="28"/>
  <c r="BB140" i="12"/>
  <c r="P63" i="27"/>
  <c r="AO44" i="12" s="1"/>
  <c r="AO82" i="12"/>
  <c r="BO82" i="12"/>
  <c r="BO77" i="12"/>
  <c r="BO25" i="12"/>
  <c r="P60" i="29"/>
  <c r="AB82" i="12"/>
  <c r="BA109" i="12"/>
  <c r="AN109" i="12"/>
  <c r="BN109" i="12"/>
  <c r="AA109" i="12"/>
  <c r="CA109" i="12"/>
  <c r="BA110" i="12"/>
  <c r="AN110" i="12"/>
  <c r="AA110" i="12"/>
  <c r="CA110" i="12"/>
  <c r="BN110" i="12"/>
  <c r="AN64" i="12"/>
  <c r="BA64" i="12"/>
  <c r="CA64" i="12"/>
  <c r="BN64" i="12"/>
  <c r="AA64" i="12"/>
  <c r="BA111" i="12"/>
  <c r="AN111" i="12"/>
  <c r="CA111" i="12"/>
  <c r="BN111" i="12"/>
  <c r="AA111" i="12"/>
  <c r="BA112" i="12"/>
  <c r="AN112" i="12"/>
  <c r="CA112" i="12"/>
  <c r="BN112" i="12"/>
  <c r="AA112" i="12"/>
  <c r="AN108" i="12"/>
  <c r="BA108" i="12"/>
  <c r="BN108" i="12"/>
  <c r="CA108" i="12"/>
  <c r="AA108" i="12"/>
  <c r="O75" i="26"/>
  <c r="AA56" i="12" s="1"/>
  <c r="O69" i="26"/>
  <c r="AA50" i="12" s="1"/>
  <c r="O56" i="26"/>
  <c r="O72" i="26"/>
  <c r="AA53" i="12" s="1"/>
  <c r="O56" i="30"/>
  <c r="CA37" i="12" s="1"/>
  <c r="O69" i="30"/>
  <c r="CA50" i="12" s="1"/>
  <c r="O75" i="30"/>
  <c r="CA56" i="12" s="1"/>
  <c r="O72" i="30"/>
  <c r="CA53" i="12" s="1"/>
  <c r="I11" i="33"/>
  <c r="I21" i="33" s="1"/>
  <c r="AB140" i="12"/>
  <c r="AB25" i="12"/>
  <c r="P60" i="26"/>
  <c r="AO77" i="12"/>
  <c r="CB153" i="12"/>
  <c r="CB140" i="12"/>
  <c r="P63" i="30"/>
  <c r="CB44" i="12" s="1"/>
  <c r="CB82" i="12"/>
  <c r="P60" i="30"/>
  <c r="CB25" i="12"/>
  <c r="BO140" i="12"/>
  <c r="BO153" i="12"/>
  <c r="H11" i="33"/>
  <c r="H21" i="33" s="1"/>
  <c r="BB77" i="12"/>
  <c r="BB82" i="12"/>
  <c r="P63" i="28"/>
  <c r="BB44" i="12" s="1"/>
  <c r="P63" i="26"/>
  <c r="AB44" i="12" s="1"/>
  <c r="AB77" i="12"/>
  <c r="AO25" i="12"/>
  <c r="P61" i="27"/>
  <c r="AO140" i="12"/>
  <c r="AA5" i="33"/>
  <c r="M153" i="33"/>
  <c r="P34" i="27"/>
  <c r="P34" i="26"/>
  <c r="AB166" i="33"/>
  <c r="O165" i="33"/>
  <c r="O166" i="33" s="1"/>
  <c r="P218" i="32"/>
  <c r="O18" i="32"/>
  <c r="O33" i="32" s="1"/>
  <c r="O26" i="32"/>
  <c r="P17" i="32"/>
  <c r="P20" i="32"/>
  <c r="P19" i="32"/>
  <c r="AI159" i="33"/>
  <c r="AB6" i="12"/>
  <c r="P34" i="28"/>
  <c r="L176" i="32"/>
  <c r="AK156" i="33" s="1"/>
  <c r="K70" i="21" s="1"/>
  <c r="N26" i="33" l="1"/>
  <c r="N23" i="33"/>
  <c r="O6" i="12"/>
  <c r="P23" i="32" s="1"/>
  <c r="P83" i="32" s="1"/>
  <c r="AO64" i="33" s="1"/>
  <c r="P44" i="32"/>
  <c r="AO23" i="33"/>
  <c r="P60" i="32"/>
  <c r="AN44" i="33"/>
  <c r="N44" i="33" s="1"/>
  <c r="O65" i="32"/>
  <c r="AN46" i="33" s="1"/>
  <c r="P47" i="32"/>
  <c r="AO26" i="33"/>
  <c r="P63" i="32"/>
  <c r="AN28" i="33"/>
  <c r="O70" i="32"/>
  <c r="AN51" i="33" s="1"/>
  <c r="O76" i="32"/>
  <c r="AN57" i="33" s="1"/>
  <c r="O57" i="32"/>
  <c r="AN38" i="33" s="1"/>
  <c r="O73" i="32"/>
  <c r="AN54" i="33" s="1"/>
  <c r="AN41" i="33"/>
  <c r="O62" i="32"/>
  <c r="AN43" i="33" s="1"/>
  <c r="AN47" i="33"/>
  <c r="O68" i="32"/>
  <c r="P50" i="32"/>
  <c r="AO29" i="33"/>
  <c r="P66" i="32"/>
  <c r="AN25" i="33"/>
  <c r="O72" i="32"/>
  <c r="AN53" i="33" s="1"/>
  <c r="O75" i="32"/>
  <c r="AN56" i="33" s="1"/>
  <c r="O56" i="32"/>
  <c r="AN37" i="33" s="1"/>
  <c r="O69" i="32"/>
  <c r="AN50" i="33" s="1"/>
  <c r="AN31" i="33"/>
  <c r="O71" i="32"/>
  <c r="AN52" i="33" s="1"/>
  <c r="O77" i="32"/>
  <c r="AN58" i="33" s="1"/>
  <c r="O74" i="32"/>
  <c r="AN55" i="33" s="1"/>
  <c r="O58" i="32"/>
  <c r="AN39" i="33" s="1"/>
  <c r="O55" i="32"/>
  <c r="AN36" i="33" s="1"/>
  <c r="AU159" i="12"/>
  <c r="AU162" i="12" s="1"/>
  <c r="H82" i="21" s="1"/>
  <c r="G100" i="21"/>
  <c r="H109" i="21"/>
  <c r="O5" i="12"/>
  <c r="AB5" i="33" s="1"/>
  <c r="N7" i="33"/>
  <c r="G117" i="21"/>
  <c r="G99" i="21"/>
  <c r="AI157" i="12"/>
  <c r="I90" i="21" s="1"/>
  <c r="I72" i="21"/>
  <c r="I63" i="21" s="1"/>
  <c r="L112" i="21"/>
  <c r="I103" i="21"/>
  <c r="I121" i="21"/>
  <c r="CK159" i="12"/>
  <c r="CK162" i="12" s="1"/>
  <c r="J85" i="21"/>
  <c r="BW157" i="12"/>
  <c r="J93" i="21" s="1"/>
  <c r="J75" i="21"/>
  <c r="J66" i="21" s="1"/>
  <c r="H110" i="21"/>
  <c r="BV157" i="12"/>
  <c r="I93" i="21" s="1"/>
  <c r="I75" i="21"/>
  <c r="I66" i="21" s="1"/>
  <c r="BI157" i="12"/>
  <c r="I92" i="21" s="1"/>
  <c r="I74" i="21"/>
  <c r="BH159" i="12"/>
  <c r="BH162" i="12" s="1"/>
  <c r="H83" i="21" s="1"/>
  <c r="G83" i="21"/>
  <c r="H102" i="21"/>
  <c r="H120" i="21"/>
  <c r="F162" i="12"/>
  <c r="F80" i="21"/>
  <c r="F78" i="21" s="1"/>
  <c r="F96" i="21" s="1"/>
  <c r="H65" i="21"/>
  <c r="M6" i="33"/>
  <c r="P30" i="32"/>
  <c r="AO12" i="33" s="1"/>
  <c r="O12" i="33" s="1"/>
  <c r="P25" i="32"/>
  <c r="AO7" i="33" s="1"/>
  <c r="P27" i="32"/>
  <c r="AO9" i="33" s="1"/>
  <c r="O9" i="33" s="1"/>
  <c r="M65" i="33"/>
  <c r="AN8" i="33"/>
  <c r="N8" i="33" s="1"/>
  <c r="O29" i="32"/>
  <c r="AN11" i="33" s="1"/>
  <c r="AL49" i="12"/>
  <c r="M81" i="27"/>
  <c r="AY55" i="12"/>
  <c r="L55" i="12" s="1"/>
  <c r="Y55" i="33" s="1"/>
  <c r="L55" i="33" s="1"/>
  <c r="M81" i="28"/>
  <c r="BL49" i="12"/>
  <c r="M81" i="29"/>
  <c r="BY49" i="12"/>
  <c r="M81" i="30"/>
  <c r="CO49" i="12"/>
  <c r="P81" i="34"/>
  <c r="CO62" i="12" s="1"/>
  <c r="Y38" i="12"/>
  <c r="L38" i="12" s="1"/>
  <c r="Y38" i="33" s="1"/>
  <c r="L38" i="33" s="1"/>
  <c r="M81" i="26"/>
  <c r="AA37" i="12"/>
  <c r="N37" i="12" s="1"/>
  <c r="AA37" i="33" s="1"/>
  <c r="CM156" i="12"/>
  <c r="M76" i="21" s="1"/>
  <c r="M112" i="21" s="1"/>
  <c r="N39" i="32"/>
  <c r="AM21" i="33" s="1"/>
  <c r="O24" i="32"/>
  <c r="AN6" i="33" s="1"/>
  <c r="AN5" i="33"/>
  <c r="N5" i="33" s="1"/>
  <c r="O84" i="32"/>
  <c r="AN65" i="33" s="1"/>
  <c r="N65" i="33" s="1"/>
  <c r="N16" i="12"/>
  <c r="AA16" i="33" s="1"/>
  <c r="L57" i="12"/>
  <c r="Y57" i="33" s="1"/>
  <c r="L57" i="33" s="1"/>
  <c r="U156" i="33"/>
  <c r="H156" i="33" s="1"/>
  <c r="H157" i="33" s="1"/>
  <c r="O24" i="12"/>
  <c r="AB24" i="33" s="1"/>
  <c r="O24" i="33" s="1"/>
  <c r="O86" i="12"/>
  <c r="AB86" i="33" s="1"/>
  <c r="O86" i="33" s="1"/>
  <c r="O142" i="12"/>
  <c r="AB142" i="33" s="1"/>
  <c r="O142" i="33" s="1"/>
  <c r="N53" i="12"/>
  <c r="AA53" i="33" s="1"/>
  <c r="L45" i="12"/>
  <c r="Y45" i="33" s="1"/>
  <c r="L45" i="33" s="1"/>
  <c r="O105" i="12"/>
  <c r="AB105" i="33" s="1"/>
  <c r="O105" i="33" s="1"/>
  <c r="N48" i="12"/>
  <c r="AA48" i="33" s="1"/>
  <c r="N48" i="33" s="1"/>
  <c r="O44" i="12"/>
  <c r="AB44" i="33" s="1"/>
  <c r="CO37" i="12"/>
  <c r="L31" i="12"/>
  <c r="Y31" i="33" s="1"/>
  <c r="L31" i="33" s="1"/>
  <c r="O66" i="12"/>
  <c r="AB66" i="33" s="1"/>
  <c r="O66" i="33" s="1"/>
  <c r="O77" i="12"/>
  <c r="L46" i="12"/>
  <c r="Y46" i="33" s="1"/>
  <c r="L46" i="33" s="1"/>
  <c r="L39" i="27"/>
  <c r="AK21" i="12" s="1"/>
  <c r="K53" i="21" s="1"/>
  <c r="K44" i="21" s="1"/>
  <c r="L36" i="12"/>
  <c r="O144" i="12"/>
  <c r="O40" i="12"/>
  <c r="AB40" i="33" s="1"/>
  <c r="O40" i="33" s="1"/>
  <c r="N41" i="12"/>
  <c r="AA41" i="33" s="1"/>
  <c r="O140" i="12"/>
  <c r="N50" i="12"/>
  <c r="AA50" i="33" s="1"/>
  <c r="M28" i="12"/>
  <c r="Z28" i="33" s="1"/>
  <c r="M28" i="33" s="1"/>
  <c r="O23" i="12"/>
  <c r="AB23" i="33" s="1"/>
  <c r="O25" i="12"/>
  <c r="AB25" i="33" s="1"/>
  <c r="N56" i="12"/>
  <c r="AA56" i="33" s="1"/>
  <c r="AB74" i="33"/>
  <c r="O74" i="33" s="1"/>
  <c r="N30" i="12"/>
  <c r="AA30" i="33" s="1"/>
  <c r="N30" i="33" s="1"/>
  <c r="N43" i="12"/>
  <c r="AA43" i="33" s="1"/>
  <c r="L51" i="12"/>
  <c r="Y51" i="33" s="1"/>
  <c r="L51" i="33" s="1"/>
  <c r="N29" i="12"/>
  <c r="AA29" i="33" s="1"/>
  <c r="N29" i="33" s="1"/>
  <c r="L52" i="12"/>
  <c r="Y52" i="33" s="1"/>
  <c r="L52" i="33" s="1"/>
  <c r="L39" i="12"/>
  <c r="Y39" i="33" s="1"/>
  <c r="L39" i="33" s="1"/>
  <c r="L47" i="12"/>
  <c r="Y47" i="33" s="1"/>
  <c r="L47" i="33" s="1"/>
  <c r="O65" i="12"/>
  <c r="AB65" i="33" s="1"/>
  <c r="AB141" i="33"/>
  <c r="O141" i="33" s="1"/>
  <c r="N25" i="12"/>
  <c r="AA25" i="33" s="1"/>
  <c r="O82" i="12"/>
  <c r="O153" i="12"/>
  <c r="AB153" i="33" s="1"/>
  <c r="L54" i="12"/>
  <c r="Y54" i="33" s="1"/>
  <c r="L54" i="33" s="1"/>
  <c r="N27" i="12"/>
  <c r="AA27" i="33" s="1"/>
  <c r="N27" i="33" s="1"/>
  <c r="L58" i="12"/>
  <c r="Y58" i="33" s="1"/>
  <c r="L58" i="33" s="1"/>
  <c r="AB26" i="33"/>
  <c r="J62" i="12"/>
  <c r="W62" i="33" s="1"/>
  <c r="N107" i="12"/>
  <c r="AA107" i="33" s="1"/>
  <c r="N107" i="33" s="1"/>
  <c r="M16" i="33"/>
  <c r="N109" i="12"/>
  <c r="AA109" i="33" s="1"/>
  <c r="N109" i="33" s="1"/>
  <c r="N110" i="12"/>
  <c r="AA110" i="33" s="1"/>
  <c r="N110" i="33" s="1"/>
  <c r="I67" i="21"/>
  <c r="N64" i="12"/>
  <c r="J52" i="21"/>
  <c r="J43" i="21" s="1"/>
  <c r="O32" i="12"/>
  <c r="AB32" i="33" s="1"/>
  <c r="O32" i="33" s="1"/>
  <c r="N111" i="12"/>
  <c r="AA111" i="33" s="1"/>
  <c r="N111" i="33" s="1"/>
  <c r="I156" i="12"/>
  <c r="I157" i="12" s="1"/>
  <c r="N112" i="12"/>
  <c r="AA112" i="33" s="1"/>
  <c r="N112" i="33" s="1"/>
  <c r="N108" i="12"/>
  <c r="AA108" i="33" s="1"/>
  <c r="N108" i="33" s="1"/>
  <c r="O176" i="34"/>
  <c r="CN113" i="12"/>
  <c r="K177" i="27"/>
  <c r="CO113" i="12"/>
  <c r="CO64" i="12"/>
  <c r="O39" i="30"/>
  <c r="CA21" i="12" s="1"/>
  <c r="N56" i="21" s="1"/>
  <c r="N47" i="21" s="1"/>
  <c r="O39" i="29"/>
  <c r="BN21" i="12" s="1"/>
  <c r="K177" i="26"/>
  <c r="N39" i="28"/>
  <c r="AZ21" i="12" s="1"/>
  <c r="L39" i="28"/>
  <c r="AX21" i="12" s="1"/>
  <c r="K54" i="21" s="1"/>
  <c r="K45" i="21" s="1"/>
  <c r="P38" i="32"/>
  <c r="AO17" i="33"/>
  <c r="O17" i="33" s="1"/>
  <c r="Y106" i="33"/>
  <c r="L106" i="33" s="1"/>
  <c r="AB85" i="33"/>
  <c r="O85" i="33" s="1"/>
  <c r="AB114" i="33"/>
  <c r="O114" i="33" s="1"/>
  <c r="AB63" i="33"/>
  <c r="O63" i="33" s="1"/>
  <c r="AB84" i="33"/>
  <c r="O84" i="33" s="1"/>
  <c r="Z106" i="33"/>
  <c r="M106" i="33" s="1"/>
  <c r="AA140" i="33"/>
  <c r="N140" i="33" s="1"/>
  <c r="AO91" i="33"/>
  <c r="O91" i="33" s="1"/>
  <c r="AO92" i="33"/>
  <c r="O92" i="33" s="1"/>
  <c r="AO112" i="33"/>
  <c r="AO108" i="33"/>
  <c r="AO126" i="33"/>
  <c r="O126" i="33" s="1"/>
  <c r="AO111" i="33"/>
  <c r="AO107" i="33"/>
  <c r="AO127" i="33"/>
  <c r="O127" i="33" s="1"/>
  <c r="AO122" i="33"/>
  <c r="O122" i="33" s="1"/>
  <c r="AN118" i="33"/>
  <c r="N118" i="33" s="1"/>
  <c r="P39" i="30"/>
  <c r="CB21" i="12" s="1"/>
  <c r="O56" i="21" s="1"/>
  <c r="O47" i="21" s="1"/>
  <c r="CB10" i="12"/>
  <c r="BO11" i="12"/>
  <c r="BO10" i="12"/>
  <c r="N29" i="26"/>
  <c r="N39" i="26" s="1"/>
  <c r="Z21" i="12" s="1"/>
  <c r="Z10" i="12"/>
  <c r="X113" i="33"/>
  <c r="K113" i="33" s="1"/>
  <c r="AA77" i="33"/>
  <c r="N77" i="33" s="1"/>
  <c r="AB89" i="33"/>
  <c r="O89" i="33" s="1"/>
  <c r="AA88" i="33"/>
  <c r="N88" i="33" s="1"/>
  <c r="AB98" i="33"/>
  <c r="O98" i="33" s="1"/>
  <c r="AB83" i="33"/>
  <c r="O83" i="33" s="1"/>
  <c r="AO90" i="33"/>
  <c r="O90" i="33" s="1"/>
  <c r="AO117" i="33"/>
  <c r="O117" i="33" s="1"/>
  <c r="AO116" i="33"/>
  <c r="O116" i="33" s="1"/>
  <c r="AO110" i="33"/>
  <c r="AO145" i="33"/>
  <c r="O145" i="33" s="1"/>
  <c r="AO123" i="33"/>
  <c r="O123" i="33" s="1"/>
  <c r="AO109" i="33"/>
  <c r="AO146" i="33"/>
  <c r="O146" i="33" s="1"/>
  <c r="AO124" i="33"/>
  <c r="O124" i="33" s="1"/>
  <c r="AN128" i="33"/>
  <c r="N128" i="33" s="1"/>
  <c r="AN94" i="33"/>
  <c r="N94" i="33" s="1"/>
  <c r="AY11" i="12"/>
  <c r="AY10" i="12"/>
  <c r="AA144" i="33"/>
  <c r="N144" i="33" s="1"/>
  <c r="AN20" i="33"/>
  <c r="N20" i="33" s="1"/>
  <c r="O34" i="32"/>
  <c r="AN15" i="33"/>
  <c r="N15" i="33" s="1"/>
  <c r="AB16" i="12"/>
  <c r="BB16" i="12"/>
  <c r="AO16" i="12"/>
  <c r="AA6" i="33"/>
  <c r="X11" i="12"/>
  <c r="L39" i="26"/>
  <c r="X21" i="12" s="1"/>
  <c r="AL11" i="12"/>
  <c r="M39" i="27"/>
  <c r="AL21" i="12" s="1"/>
  <c r="AB119" i="33"/>
  <c r="O119" i="33" s="1"/>
  <c r="AA82" i="33"/>
  <c r="N82" i="33" s="1"/>
  <c r="AB120" i="33"/>
  <c r="O120" i="33" s="1"/>
  <c r="N73" i="33"/>
  <c r="AB7" i="33"/>
  <c r="M29" i="26"/>
  <c r="BN106" i="12"/>
  <c r="BN102" i="12"/>
  <c r="AN10" i="12"/>
  <c r="AN102" i="12"/>
  <c r="P92" i="32"/>
  <c r="AO73" i="33" s="1"/>
  <c r="O67" i="33"/>
  <c r="L177" i="32"/>
  <c r="AK157" i="33" s="1"/>
  <c r="K88" i="21" s="1"/>
  <c r="K106" i="21" s="1"/>
  <c r="AO88" i="12"/>
  <c r="O88" i="12" s="1"/>
  <c r="CA106" i="12"/>
  <c r="CA102" i="12"/>
  <c r="BA102" i="12"/>
  <c r="P138" i="32"/>
  <c r="O115" i="33"/>
  <c r="AA10" i="12"/>
  <c r="AA102" i="12"/>
  <c r="W157" i="12"/>
  <c r="J89" i="21" s="1"/>
  <c r="J107" i="21" s="1"/>
  <c r="N65" i="27"/>
  <c r="AM46" i="12" s="1"/>
  <c r="AM45" i="12"/>
  <c r="AK62" i="12"/>
  <c r="L176" i="27"/>
  <c r="AK156" i="12" s="1"/>
  <c r="N68" i="27"/>
  <c r="AM47" i="12"/>
  <c r="P62" i="27"/>
  <c r="AO43" i="12" s="1"/>
  <c r="AO42" i="12"/>
  <c r="P67" i="27"/>
  <c r="AO48" i="12" s="1"/>
  <c r="AO30" i="12"/>
  <c r="V157" i="12"/>
  <c r="I89" i="21" s="1"/>
  <c r="I107" i="21" s="1"/>
  <c r="P62" i="26"/>
  <c r="AB43" i="12" s="1"/>
  <c r="AB41" i="12"/>
  <c r="N68" i="26"/>
  <c r="Z49" i="12" s="1"/>
  <c r="Z47" i="12"/>
  <c r="Z36" i="12"/>
  <c r="Z31" i="12"/>
  <c r="X62" i="12"/>
  <c r="L176" i="26"/>
  <c r="X156" i="12" s="1"/>
  <c r="K71" i="21" s="1"/>
  <c r="P67" i="26"/>
  <c r="AB48" i="12" s="1"/>
  <c r="AB30" i="12"/>
  <c r="N65" i="26"/>
  <c r="Z46" i="12" s="1"/>
  <c r="Z45" i="12"/>
  <c r="P67" i="30"/>
  <c r="CB48" i="12" s="1"/>
  <c r="P62" i="28"/>
  <c r="BB43" i="12" s="1"/>
  <c r="BB42" i="12"/>
  <c r="N65" i="28"/>
  <c r="AZ46" i="12" s="1"/>
  <c r="AZ45" i="12"/>
  <c r="N68" i="28"/>
  <c r="AZ49" i="12" s="1"/>
  <c r="AZ47" i="12"/>
  <c r="AW156" i="12"/>
  <c r="K177" i="28"/>
  <c r="P67" i="28"/>
  <c r="BB48" i="12" s="1"/>
  <c r="BB30" i="12"/>
  <c r="AX62" i="12"/>
  <c r="L176" i="28"/>
  <c r="I64" i="21"/>
  <c r="AV157" i="12"/>
  <c r="I91" i="21" s="1"/>
  <c r="I109" i="21" s="1"/>
  <c r="BX62" i="12"/>
  <c r="L176" i="30"/>
  <c r="BX156" i="12" s="1"/>
  <c r="BV159" i="12"/>
  <c r="K177" i="30"/>
  <c r="P62" i="30"/>
  <c r="CB43" i="12" s="1"/>
  <c r="CB41" i="12"/>
  <c r="N65" i="30"/>
  <c r="BZ46" i="12" s="1"/>
  <c r="BZ45" i="12"/>
  <c r="N68" i="30"/>
  <c r="BZ47" i="12"/>
  <c r="P62" i="29"/>
  <c r="BO43" i="12" s="1"/>
  <c r="BO41" i="12"/>
  <c r="N68" i="29"/>
  <c r="BM47" i="12"/>
  <c r="BJ156" i="12"/>
  <c r="K177" i="29"/>
  <c r="N65" i="29"/>
  <c r="BM46" i="12" s="1"/>
  <c r="BM45" i="12"/>
  <c r="BK62" i="12"/>
  <c r="L176" i="29"/>
  <c r="P67" i="29"/>
  <c r="BO48" i="12" s="1"/>
  <c r="BO30" i="12"/>
  <c r="BO73" i="12"/>
  <c r="O73" i="12" s="1"/>
  <c r="AJ157" i="12"/>
  <c r="J90" i="21" s="1"/>
  <c r="J108" i="21" s="1"/>
  <c r="J53" i="21"/>
  <c r="J44" i="21" s="1"/>
  <c r="K55" i="21"/>
  <c r="K46" i="21" s="1"/>
  <c r="M55" i="21"/>
  <c r="M46" i="21" s="1"/>
  <c r="I50" i="21"/>
  <c r="I42" i="21"/>
  <c r="K48" i="21"/>
  <c r="O100" i="33"/>
  <c r="P133" i="32"/>
  <c r="AO113" i="33" s="1"/>
  <c r="P148" i="32"/>
  <c r="P145" i="32"/>
  <c r="P114" i="32"/>
  <c r="P173" i="32"/>
  <c r="AO153" i="33" s="1"/>
  <c r="BZ36" i="12"/>
  <c r="AZ36" i="12"/>
  <c r="BM36" i="12"/>
  <c r="AM36" i="12"/>
  <c r="BB27" i="12"/>
  <c r="AO27" i="12"/>
  <c r="AB27" i="12"/>
  <c r="BO27" i="12"/>
  <c r="CB27" i="12"/>
  <c r="N76" i="29"/>
  <c r="BM57" i="12" s="1"/>
  <c r="N73" i="29"/>
  <c r="BM54" i="12" s="1"/>
  <c r="N70" i="29"/>
  <c r="BM51" i="12" s="1"/>
  <c r="N57" i="29"/>
  <c r="BM38" i="12" s="1"/>
  <c r="I62" i="33"/>
  <c r="BB29" i="12"/>
  <c r="AO29" i="12"/>
  <c r="BO29" i="12"/>
  <c r="CB29" i="12"/>
  <c r="AB29" i="12"/>
  <c r="N70" i="27"/>
  <c r="AM51" i="12" s="1"/>
  <c r="N73" i="27"/>
  <c r="AM54" i="12" s="1"/>
  <c r="N57" i="27"/>
  <c r="AM38" i="12" s="1"/>
  <c r="N76" i="27"/>
  <c r="AM57" i="12" s="1"/>
  <c r="N70" i="30"/>
  <c r="BZ51" i="12" s="1"/>
  <c r="N57" i="30"/>
  <c r="BZ38" i="12" s="1"/>
  <c r="N73" i="30"/>
  <c r="BZ54" i="12" s="1"/>
  <c r="N76" i="30"/>
  <c r="BZ57" i="12" s="1"/>
  <c r="N58" i="26"/>
  <c r="Z39" i="12" s="1"/>
  <c r="N74" i="26"/>
  <c r="Z55" i="12" s="1"/>
  <c r="N71" i="26"/>
  <c r="Z52" i="12" s="1"/>
  <c r="N77" i="26"/>
  <c r="Z58" i="12" s="1"/>
  <c r="J62" i="21"/>
  <c r="O64" i="26"/>
  <c r="AA28" i="12"/>
  <c r="BA28" i="12"/>
  <c r="O64" i="28"/>
  <c r="O66" i="27"/>
  <c r="CA31" i="12"/>
  <c r="O66" i="30"/>
  <c r="AH159" i="12"/>
  <c r="AH162" i="12" s="1"/>
  <c r="H81" i="21" s="1"/>
  <c r="N58" i="28"/>
  <c r="AZ39" i="12" s="1"/>
  <c r="N71" i="28"/>
  <c r="AZ52" i="12" s="1"/>
  <c r="N77" i="28"/>
  <c r="AZ58" i="12" s="1"/>
  <c r="N74" i="28"/>
  <c r="U157" i="33"/>
  <c r="N71" i="30"/>
  <c r="BZ52" i="12" s="1"/>
  <c r="N58" i="30"/>
  <c r="BZ39" i="12" s="1"/>
  <c r="N77" i="30"/>
  <c r="BZ58" i="12" s="1"/>
  <c r="N74" i="30"/>
  <c r="BZ55" i="12" s="1"/>
  <c r="H64" i="21"/>
  <c r="H69" i="21"/>
  <c r="H59" i="21" s="1"/>
  <c r="H61" i="21"/>
  <c r="O64" i="29"/>
  <c r="BN28" i="12"/>
  <c r="O64" i="30"/>
  <c r="CA28" i="12"/>
  <c r="O64" i="27"/>
  <c r="AN28" i="12"/>
  <c r="O66" i="29"/>
  <c r="O66" i="26"/>
  <c r="O66" i="28"/>
  <c r="N76" i="28"/>
  <c r="AZ57" i="12" s="1"/>
  <c r="N73" i="28"/>
  <c r="AZ54" i="12" s="1"/>
  <c r="N57" i="28"/>
  <c r="AZ38" i="12" s="1"/>
  <c r="N70" i="28"/>
  <c r="AZ51" i="12" s="1"/>
  <c r="N57" i="26"/>
  <c r="N73" i="26"/>
  <c r="Z54" i="12" s="1"/>
  <c r="N70" i="26"/>
  <c r="Z51" i="12" s="1"/>
  <c r="N76" i="26"/>
  <c r="Z57" i="12" s="1"/>
  <c r="G87" i="21"/>
  <c r="G105" i="21" s="1"/>
  <c r="N74" i="27"/>
  <c r="AM55" i="12" s="1"/>
  <c r="N77" i="27"/>
  <c r="AM58" i="12" s="1"/>
  <c r="N71" i="27"/>
  <c r="AM52" i="12" s="1"/>
  <c r="N58" i="27"/>
  <c r="AM39" i="12" s="1"/>
  <c r="N77" i="29"/>
  <c r="BM58" i="12" s="1"/>
  <c r="N74" i="29"/>
  <c r="BM55" i="12" s="1"/>
  <c r="N71" i="29"/>
  <c r="BM52" i="12" s="1"/>
  <c r="N58" i="29"/>
  <c r="BM39" i="12" s="1"/>
  <c r="H11" i="21"/>
  <c r="F159" i="33"/>
  <c r="F162" i="33" s="1"/>
  <c r="S162" i="33"/>
  <c r="E96" i="21"/>
  <c r="E114" i="21"/>
  <c r="T159" i="12"/>
  <c r="G159" i="12" s="1"/>
  <c r="AB107" i="12"/>
  <c r="AO107" i="12"/>
  <c r="BB107" i="12"/>
  <c r="BO107" i="12"/>
  <c r="CB107" i="12"/>
  <c r="AO112" i="12"/>
  <c r="AB112" i="12"/>
  <c r="BB112" i="12"/>
  <c r="BO112" i="12"/>
  <c r="CB112" i="12"/>
  <c r="P69" i="27"/>
  <c r="AO50" i="12" s="1"/>
  <c r="P75" i="27"/>
  <c r="AO56" i="12" s="1"/>
  <c r="P72" i="27"/>
  <c r="AO53" i="12" s="1"/>
  <c r="P56" i="27"/>
  <c r="AO37" i="12" s="1"/>
  <c r="P72" i="30"/>
  <c r="CB53" i="12" s="1"/>
  <c r="P56" i="30"/>
  <c r="CB37" i="12" s="1"/>
  <c r="P75" i="30"/>
  <c r="CB56" i="12" s="1"/>
  <c r="P69" i="30"/>
  <c r="CB50" i="12" s="1"/>
  <c r="P56" i="28"/>
  <c r="BB37" i="12" s="1"/>
  <c r="P75" i="28"/>
  <c r="BB56" i="12" s="1"/>
  <c r="P72" i="28"/>
  <c r="BB53" i="12" s="1"/>
  <c r="P69" i="28"/>
  <c r="BB50" i="12" s="1"/>
  <c r="BN113" i="12"/>
  <c r="CA113" i="12"/>
  <c r="BA113" i="12"/>
  <c r="CB108" i="12"/>
  <c r="AO108" i="12"/>
  <c r="AB108" i="12"/>
  <c r="BB108" i="12"/>
  <c r="BO108" i="12"/>
  <c r="AO111" i="12"/>
  <c r="BO111" i="12"/>
  <c r="CB111" i="12"/>
  <c r="AB111" i="12"/>
  <c r="BB111" i="12"/>
  <c r="AO109" i="12"/>
  <c r="BB109" i="12"/>
  <c r="AB109" i="12"/>
  <c r="BO109" i="12"/>
  <c r="CB109" i="12"/>
  <c r="BO110" i="12"/>
  <c r="BB110" i="12"/>
  <c r="CB110" i="12"/>
  <c r="AO110" i="12"/>
  <c r="AB110" i="12"/>
  <c r="BB64" i="12"/>
  <c r="AB64" i="12"/>
  <c r="AO64" i="12"/>
  <c r="BO64" i="12"/>
  <c r="CB64" i="12"/>
  <c r="P69" i="26"/>
  <c r="AB50" i="12" s="1"/>
  <c r="P56" i="26"/>
  <c r="P75" i="26"/>
  <c r="AB56" i="12" s="1"/>
  <c r="P72" i="26"/>
  <c r="AB53" i="12" s="1"/>
  <c r="P72" i="29"/>
  <c r="BO53" i="12" s="1"/>
  <c r="P56" i="29"/>
  <c r="BO37" i="12" s="1"/>
  <c r="P69" i="29"/>
  <c r="BO50" i="12" s="1"/>
  <c r="P75" i="29"/>
  <c r="BO56" i="12" s="1"/>
  <c r="AA113" i="12"/>
  <c r="AN113" i="12"/>
  <c r="Y113" i="33"/>
  <c r="Z113" i="33"/>
  <c r="J63" i="21"/>
  <c r="N153" i="33"/>
  <c r="M176" i="32"/>
  <c r="AL156" i="33" s="1"/>
  <c r="L70" i="21" s="1"/>
  <c r="AI162" i="33"/>
  <c r="I79" i="21" s="1"/>
  <c r="P18" i="32"/>
  <c r="P33" i="32" s="1"/>
  <c r="P26" i="32"/>
  <c r="N37" i="33" l="1"/>
  <c r="O23" i="33"/>
  <c r="N50" i="33"/>
  <c r="N25" i="33"/>
  <c r="N41" i="33"/>
  <c r="O7" i="33"/>
  <c r="N53" i="33"/>
  <c r="N43" i="33"/>
  <c r="O26" i="33"/>
  <c r="AO44" i="33"/>
  <c r="O44" i="33" s="1"/>
  <c r="P65" i="32"/>
  <c r="AO46" i="33" s="1"/>
  <c r="AO28" i="33"/>
  <c r="P76" i="32"/>
  <c r="AO57" i="33" s="1"/>
  <c r="P73" i="32"/>
  <c r="AO54" i="33" s="1"/>
  <c r="P70" i="32"/>
  <c r="AO51" i="33" s="1"/>
  <c r="P57" i="32"/>
  <c r="AO38" i="33" s="1"/>
  <c r="AO47" i="33"/>
  <c r="P68" i="32"/>
  <c r="AO31" i="33"/>
  <c r="P77" i="32"/>
  <c r="AO58" i="33" s="1"/>
  <c r="P55" i="32"/>
  <c r="AO36" i="33" s="1"/>
  <c r="P74" i="32"/>
  <c r="AO55" i="33" s="1"/>
  <c r="P58" i="32"/>
  <c r="AO39" i="33" s="1"/>
  <c r="P71" i="32"/>
  <c r="AO52" i="33" s="1"/>
  <c r="AO41" i="33"/>
  <c r="P62" i="32"/>
  <c r="AO43" i="33" s="1"/>
  <c r="N56" i="33"/>
  <c r="AN49" i="33"/>
  <c r="O81" i="32"/>
  <c r="AN62" i="33" s="1"/>
  <c r="AO25" i="33"/>
  <c r="O25" i="33" s="1"/>
  <c r="P56" i="32"/>
  <c r="AO37" i="33" s="1"/>
  <c r="P72" i="32"/>
  <c r="AO53" i="33" s="1"/>
  <c r="P75" i="32"/>
  <c r="AO56" i="33" s="1"/>
  <c r="P69" i="32"/>
  <c r="AO50" i="33" s="1"/>
  <c r="BV162" i="12"/>
  <c r="I84" i="21" s="1"/>
  <c r="I120" i="21" s="1"/>
  <c r="BI159" i="12"/>
  <c r="BI162" i="12" s="1"/>
  <c r="I83" i="21" s="1"/>
  <c r="I119" i="21" s="1"/>
  <c r="J111" i="21"/>
  <c r="AW157" i="12"/>
  <c r="J91" i="21" s="1"/>
  <c r="J73" i="21"/>
  <c r="J64" i="21" s="1"/>
  <c r="H118" i="21"/>
  <c r="H100" i="21"/>
  <c r="I108" i="21"/>
  <c r="K72" i="21"/>
  <c r="K63" i="21" s="1"/>
  <c r="H117" i="21"/>
  <c r="H99" i="21"/>
  <c r="J121" i="21"/>
  <c r="J103" i="21"/>
  <c r="CL159" i="12"/>
  <c r="CL162" i="12" s="1"/>
  <c r="K85" i="21"/>
  <c r="BX157" i="12"/>
  <c r="K93" i="21" s="1"/>
  <c r="K75" i="21"/>
  <c r="K66" i="21" s="1"/>
  <c r="I111" i="21"/>
  <c r="BJ157" i="12"/>
  <c r="J92" i="21" s="1"/>
  <c r="J74" i="21"/>
  <c r="I110" i="21"/>
  <c r="I97" i="21"/>
  <c r="I115" i="21"/>
  <c r="F98" i="21"/>
  <c r="F116" i="21"/>
  <c r="G119" i="21"/>
  <c r="G101" i="21"/>
  <c r="H119" i="21"/>
  <c r="H101" i="21"/>
  <c r="I65" i="21"/>
  <c r="L49" i="12"/>
  <c r="Y49" i="33" s="1"/>
  <c r="L49" i="33" s="1"/>
  <c r="P39" i="29"/>
  <c r="BO21" i="12" s="1"/>
  <c r="AO8" i="33"/>
  <c r="O8" i="33" s="1"/>
  <c r="P29" i="32"/>
  <c r="AO11" i="33" s="1"/>
  <c r="AM49" i="12"/>
  <c r="N81" i="27"/>
  <c r="AZ55" i="12"/>
  <c r="M55" i="12" s="1"/>
  <c r="Z55" i="33" s="1"/>
  <c r="M55" i="33" s="1"/>
  <c r="N81" i="28"/>
  <c r="BM49" i="12"/>
  <c r="N81" i="29"/>
  <c r="BZ49" i="12"/>
  <c r="N81" i="30"/>
  <c r="N6" i="33"/>
  <c r="AB37" i="12"/>
  <c r="O37" i="12" s="1"/>
  <c r="AB37" i="33" s="1"/>
  <c r="Z38" i="12"/>
  <c r="M38" i="12" s="1"/>
  <c r="Z38" i="33" s="1"/>
  <c r="M38" i="33" s="1"/>
  <c r="N81" i="26"/>
  <c r="P24" i="32"/>
  <c r="AO6" i="33" s="1"/>
  <c r="AO5" i="33"/>
  <c r="O5" i="33" s="1"/>
  <c r="P84" i="32"/>
  <c r="AO65" i="33" s="1"/>
  <c r="O65" i="33" s="1"/>
  <c r="V156" i="33"/>
  <c r="I156" i="33" s="1"/>
  <c r="I157" i="33" s="1"/>
  <c r="M21" i="12"/>
  <c r="Z21" i="33" s="1"/>
  <c r="N102" i="12"/>
  <c r="AA102" i="33" s="1"/>
  <c r="N102" i="33" s="1"/>
  <c r="M57" i="12"/>
  <c r="Z57" i="33" s="1"/>
  <c r="M57" i="33" s="1"/>
  <c r="O43" i="12"/>
  <c r="AB43" i="33" s="1"/>
  <c r="M39" i="12"/>
  <c r="Z39" i="33" s="1"/>
  <c r="M39" i="33" s="1"/>
  <c r="O50" i="12"/>
  <c r="AB50" i="33" s="1"/>
  <c r="O50" i="33" s="1"/>
  <c r="M51" i="12"/>
  <c r="Z51" i="33" s="1"/>
  <c r="M51" i="33" s="1"/>
  <c r="M45" i="12"/>
  <c r="Z45" i="33" s="1"/>
  <c r="M45" i="33" s="1"/>
  <c r="K62" i="12"/>
  <c r="X62" i="33" s="1"/>
  <c r="M54" i="12"/>
  <c r="Z54" i="33" s="1"/>
  <c r="M54" i="33" s="1"/>
  <c r="O29" i="12"/>
  <c r="AB29" i="33" s="1"/>
  <c r="O29" i="33" s="1"/>
  <c r="M46" i="12"/>
  <c r="Z46" i="33" s="1"/>
  <c r="M46" i="33" s="1"/>
  <c r="M36" i="12"/>
  <c r="M58" i="12"/>
  <c r="Z58" i="33" s="1"/>
  <c r="M58" i="33" s="1"/>
  <c r="M47" i="12"/>
  <c r="Z47" i="33" s="1"/>
  <c r="M47" i="33" s="1"/>
  <c r="O42" i="12"/>
  <c r="AB42" i="33" s="1"/>
  <c r="O42" i="33" s="1"/>
  <c r="O53" i="12"/>
  <c r="AB53" i="33" s="1"/>
  <c r="N28" i="12"/>
  <c r="AA28" i="33" s="1"/>
  <c r="N28" i="33" s="1"/>
  <c r="M52" i="12"/>
  <c r="Z52" i="33" s="1"/>
  <c r="M52" i="33" s="1"/>
  <c r="O27" i="12"/>
  <c r="AB27" i="33" s="1"/>
  <c r="O27" i="33" s="1"/>
  <c r="O30" i="12"/>
  <c r="AB30" i="33" s="1"/>
  <c r="O30" i="33" s="1"/>
  <c r="L10" i="12"/>
  <c r="Y10" i="33" s="1"/>
  <c r="L10" i="33" s="1"/>
  <c r="O56" i="12"/>
  <c r="AB56" i="33" s="1"/>
  <c r="O48" i="12"/>
  <c r="AB48" i="33" s="1"/>
  <c r="O48" i="33" s="1"/>
  <c r="O41" i="12"/>
  <c r="AB41" i="33" s="1"/>
  <c r="O16" i="12"/>
  <c r="AB16" i="33" s="1"/>
  <c r="O107" i="12"/>
  <c r="AB107" i="33" s="1"/>
  <c r="O107" i="33" s="1"/>
  <c r="M10" i="12"/>
  <c r="Z10" i="33" s="1"/>
  <c r="M10" i="33" s="1"/>
  <c r="M31" i="12"/>
  <c r="Z31" i="33" s="1"/>
  <c r="M31" i="33" s="1"/>
  <c r="K52" i="21"/>
  <c r="K42" i="21" s="1"/>
  <c r="K21" i="12"/>
  <c r="X21" i="33" s="1"/>
  <c r="K11" i="12"/>
  <c r="X11" i="33" s="1"/>
  <c r="N113" i="12"/>
  <c r="O108" i="12"/>
  <c r="AB108" i="33" s="1"/>
  <c r="O108" i="33" s="1"/>
  <c r="K62" i="21"/>
  <c r="O111" i="12"/>
  <c r="AB111" i="33" s="1"/>
  <c r="O111" i="33" s="1"/>
  <c r="O112" i="12"/>
  <c r="AB112" i="33" s="1"/>
  <c r="O112" i="33" s="1"/>
  <c r="J156" i="12"/>
  <c r="J157" i="12" s="1"/>
  <c r="O64" i="12"/>
  <c r="O109" i="12"/>
  <c r="AB109" i="33" s="1"/>
  <c r="O109" i="33" s="1"/>
  <c r="O177" i="34"/>
  <c r="CN157" i="12" s="1"/>
  <c r="N94" i="21" s="1"/>
  <c r="CN156" i="12"/>
  <c r="N76" i="21" s="1"/>
  <c r="O110" i="12"/>
  <c r="AB110" i="33" s="1"/>
  <c r="O110" i="33" s="1"/>
  <c r="P176" i="34"/>
  <c r="BA106" i="12"/>
  <c r="AA106" i="12"/>
  <c r="Z11" i="12"/>
  <c r="M39" i="28"/>
  <c r="AY21" i="12" s="1"/>
  <c r="L54" i="21" s="1"/>
  <c r="L45" i="21" s="1"/>
  <c r="CB11" i="12"/>
  <c r="AA64" i="33"/>
  <c r="N64" i="33" s="1"/>
  <c r="AB77" i="33"/>
  <c r="O77" i="33" s="1"/>
  <c r="AO94" i="33"/>
  <c r="O94" i="33" s="1"/>
  <c r="AO128" i="33"/>
  <c r="O128" i="33" s="1"/>
  <c r="AO118" i="33"/>
  <c r="O118" i="33" s="1"/>
  <c r="BA11" i="12"/>
  <c r="BA10" i="12"/>
  <c r="N10" i="12" s="1"/>
  <c r="AB140" i="33"/>
  <c r="O140" i="33" s="1"/>
  <c r="AO125" i="33"/>
  <c r="O125" i="33" s="1"/>
  <c r="AB73" i="33"/>
  <c r="O73" i="33" s="1"/>
  <c r="AB88" i="33"/>
  <c r="O88" i="33" s="1"/>
  <c r="AB144" i="33"/>
  <c r="O144" i="33" s="1"/>
  <c r="AO20" i="33"/>
  <c r="O20" i="33" s="1"/>
  <c r="Y11" i="12"/>
  <c r="M39" i="26"/>
  <c r="Y21" i="12" s="1"/>
  <c r="P34" i="32"/>
  <c r="AO15" i="33"/>
  <c r="O15" i="33" s="1"/>
  <c r="AB6" i="33"/>
  <c r="AN16" i="33"/>
  <c r="N16" i="33" s="1"/>
  <c r="O39" i="32"/>
  <c r="AN21" i="33" s="1"/>
  <c r="AB82" i="33"/>
  <c r="O82" i="33" s="1"/>
  <c r="Y36" i="33"/>
  <c r="L36" i="33" s="1"/>
  <c r="L12" i="21" s="1"/>
  <c r="AN106" i="12"/>
  <c r="L177" i="27"/>
  <c r="O29" i="26"/>
  <c r="M177" i="32"/>
  <c r="AL157" i="33" s="1"/>
  <c r="L88" i="21" s="1"/>
  <c r="L106" i="21" s="1"/>
  <c r="CB106" i="12"/>
  <c r="CB102" i="12"/>
  <c r="BO106" i="12"/>
  <c r="BO102" i="12"/>
  <c r="AO106" i="12"/>
  <c r="AO102" i="12"/>
  <c r="BB106" i="12"/>
  <c r="BB102" i="12"/>
  <c r="AB106" i="12"/>
  <c r="AB102" i="12"/>
  <c r="X157" i="12"/>
  <c r="K89" i="21" s="1"/>
  <c r="K107" i="21" s="1"/>
  <c r="L177" i="26"/>
  <c r="AK157" i="12"/>
  <c r="K90" i="21" s="1"/>
  <c r="O65" i="27"/>
  <c r="AN46" i="12" s="1"/>
  <c r="AN45" i="12"/>
  <c r="AN36" i="12"/>
  <c r="AN31" i="12"/>
  <c r="AL62" i="12"/>
  <c r="M176" i="27"/>
  <c r="AL156" i="12" s="1"/>
  <c r="O68" i="27"/>
  <c r="AN47" i="12"/>
  <c r="O68" i="26"/>
  <c r="AA49" i="12" s="1"/>
  <c r="AA47" i="12"/>
  <c r="AA36" i="12"/>
  <c r="AA31" i="12"/>
  <c r="Y62" i="12"/>
  <c r="M176" i="26"/>
  <c r="Y156" i="12" s="1"/>
  <c r="L71" i="21" s="1"/>
  <c r="O65" i="26"/>
  <c r="AA46" i="12" s="1"/>
  <c r="AA45" i="12"/>
  <c r="O68" i="28"/>
  <c r="BA49" i="12" s="1"/>
  <c r="BA47" i="12"/>
  <c r="AX156" i="12"/>
  <c r="K73" i="21" s="1"/>
  <c r="L177" i="28"/>
  <c r="BA36" i="12"/>
  <c r="BA31" i="12"/>
  <c r="O65" i="28"/>
  <c r="BA46" i="12" s="1"/>
  <c r="BA45" i="12"/>
  <c r="AY62" i="12"/>
  <c r="M176" i="28"/>
  <c r="J67" i="21"/>
  <c r="O65" i="30"/>
  <c r="CA46" i="12" s="1"/>
  <c r="CA45" i="12"/>
  <c r="O68" i="30"/>
  <c r="CA47" i="12"/>
  <c r="BY62" i="12"/>
  <c r="M176" i="30"/>
  <c r="BY156" i="12" s="1"/>
  <c r="L177" i="30"/>
  <c r="O68" i="29"/>
  <c r="BN47" i="12"/>
  <c r="O65" i="29"/>
  <c r="BN46" i="12" s="1"/>
  <c r="BN45" i="12"/>
  <c r="BK156" i="12"/>
  <c r="L177" i="29"/>
  <c r="BL62" i="12"/>
  <c r="M176" i="29"/>
  <c r="BN36" i="12"/>
  <c r="BN31" i="12"/>
  <c r="M53" i="21"/>
  <c r="M44" i="21" s="1"/>
  <c r="J42" i="21"/>
  <c r="J50" i="21"/>
  <c r="M52" i="21"/>
  <c r="M43" i="21" s="1"/>
  <c r="L55" i="21"/>
  <c r="L46" i="21" s="1"/>
  <c r="L48" i="21"/>
  <c r="M48" i="21"/>
  <c r="CA36" i="12"/>
  <c r="O74" i="27"/>
  <c r="AN55" i="12" s="1"/>
  <c r="O77" i="27"/>
  <c r="AN58" i="12" s="1"/>
  <c r="O58" i="27"/>
  <c r="AN39" i="12" s="1"/>
  <c r="O71" i="27"/>
  <c r="AN52" i="12" s="1"/>
  <c r="O70" i="26"/>
  <c r="AA51" i="12" s="1"/>
  <c r="O76" i="26"/>
  <c r="AA57" i="12" s="1"/>
  <c r="O57" i="26"/>
  <c r="O73" i="26"/>
  <c r="AA54" i="12" s="1"/>
  <c r="H87" i="21"/>
  <c r="H105" i="21" s="1"/>
  <c r="J62" i="33"/>
  <c r="P66" i="30"/>
  <c r="CB31" i="12"/>
  <c r="AO31" i="12"/>
  <c r="P66" i="27"/>
  <c r="V157" i="33"/>
  <c r="P64" i="30"/>
  <c r="CB28" i="12"/>
  <c r="P64" i="26"/>
  <c r="AB28" i="12"/>
  <c r="P64" i="28"/>
  <c r="BB28" i="12"/>
  <c r="O74" i="28"/>
  <c r="O58" i="28"/>
  <c r="BA39" i="12" s="1"/>
  <c r="O71" i="28"/>
  <c r="BA52" i="12" s="1"/>
  <c r="O77" i="28"/>
  <c r="BA58" i="12" s="1"/>
  <c r="O58" i="26"/>
  <c r="AA39" i="12" s="1"/>
  <c r="O77" i="26"/>
  <c r="AA58" i="12" s="1"/>
  <c r="O74" i="26"/>
  <c r="AA55" i="12" s="1"/>
  <c r="O71" i="26"/>
  <c r="AA52" i="12" s="1"/>
  <c r="O71" i="29"/>
  <c r="BN52" i="12" s="1"/>
  <c r="O58" i="29"/>
  <c r="BN39" i="12" s="1"/>
  <c r="O77" i="29"/>
  <c r="BN58" i="12" s="1"/>
  <c r="O74" i="29"/>
  <c r="BN55" i="12" s="1"/>
  <c r="O76" i="27"/>
  <c r="AN57" i="12" s="1"/>
  <c r="O73" i="27"/>
  <c r="AN54" i="12" s="1"/>
  <c r="O70" i="27"/>
  <c r="AN51" i="12" s="1"/>
  <c r="O57" i="27"/>
  <c r="AN38" i="12" s="1"/>
  <c r="O70" i="30"/>
  <c r="CA51" i="12" s="1"/>
  <c r="O57" i="30"/>
  <c r="CA38" i="12" s="1"/>
  <c r="O73" i="30"/>
  <c r="CA54" i="12" s="1"/>
  <c r="O76" i="30"/>
  <c r="CA57" i="12" s="1"/>
  <c r="O73" i="29"/>
  <c r="BN54" i="12" s="1"/>
  <c r="O70" i="29"/>
  <c r="BN51" i="12" s="1"/>
  <c r="O76" i="29"/>
  <c r="BN57" i="12" s="1"/>
  <c r="O57" i="29"/>
  <c r="BN38" i="12" s="1"/>
  <c r="AI159" i="12"/>
  <c r="AI162" i="12" s="1"/>
  <c r="I81" i="21" s="1"/>
  <c r="O77" i="30"/>
  <c r="CA58" i="12" s="1"/>
  <c r="O74" i="30"/>
  <c r="CA55" i="12" s="1"/>
  <c r="O71" i="30"/>
  <c r="CA52" i="12" s="1"/>
  <c r="O58" i="30"/>
  <c r="CA39" i="12" s="1"/>
  <c r="O57" i="28"/>
  <c r="BA38" i="12" s="1"/>
  <c r="O76" i="28"/>
  <c r="BA57" i="12" s="1"/>
  <c r="O73" i="28"/>
  <c r="BA54" i="12" s="1"/>
  <c r="O70" i="28"/>
  <c r="BA51" i="12" s="1"/>
  <c r="AV159" i="12"/>
  <c r="AV162" i="12" s="1"/>
  <c r="I82" i="21" s="1"/>
  <c r="I62" i="21"/>
  <c r="I61" i="21"/>
  <c r="P66" i="26"/>
  <c r="P66" i="29"/>
  <c r="P66" i="28"/>
  <c r="I11" i="21"/>
  <c r="I69" i="21"/>
  <c r="I59" i="21" s="1"/>
  <c r="P64" i="29"/>
  <c r="BO28" i="12"/>
  <c r="P64" i="27"/>
  <c r="AO28" i="12"/>
  <c r="F114" i="21"/>
  <c r="T159" i="33"/>
  <c r="T162" i="12"/>
  <c r="O153" i="33"/>
  <c r="J11" i="33"/>
  <c r="J21" i="33" s="1"/>
  <c r="BO113" i="12"/>
  <c r="AO113" i="12"/>
  <c r="CB113" i="12"/>
  <c r="BB113" i="12"/>
  <c r="AB113" i="12"/>
  <c r="L113" i="33"/>
  <c r="M113" i="33"/>
  <c r="K36" i="33"/>
  <c r="K12" i="21" s="1"/>
  <c r="N176" i="32"/>
  <c r="AM156" i="33" s="1"/>
  <c r="M70" i="21" s="1"/>
  <c r="I87" i="21"/>
  <c r="AJ159" i="33"/>
  <c r="AJ162" i="33" s="1"/>
  <c r="J79" i="21" s="1"/>
  <c r="O56" i="33" l="1"/>
  <c r="O43" i="33"/>
  <c r="O53" i="33"/>
  <c r="O37" i="33"/>
  <c r="O41" i="33"/>
  <c r="AO49" i="33"/>
  <c r="P81" i="32"/>
  <c r="AO62" i="33" s="1"/>
  <c r="BW159" i="12"/>
  <c r="BW162" i="12" s="1"/>
  <c r="J84" i="21" s="1"/>
  <c r="J120" i="21" s="1"/>
  <c r="I102" i="21"/>
  <c r="I101" i="21"/>
  <c r="BJ159" i="12"/>
  <c r="BJ162" i="12" s="1"/>
  <c r="J83" i="21" s="1"/>
  <c r="J101" i="21" s="1"/>
  <c r="K111" i="21"/>
  <c r="K108" i="21"/>
  <c r="N112" i="21"/>
  <c r="I100" i="21"/>
  <c r="I118" i="21"/>
  <c r="J109" i="21"/>
  <c r="L72" i="21"/>
  <c r="L63" i="21" s="1"/>
  <c r="I117" i="21"/>
  <c r="I99" i="21"/>
  <c r="K121" i="21"/>
  <c r="K103" i="21"/>
  <c r="CM159" i="12"/>
  <c r="CM162" i="12" s="1"/>
  <c r="L85" i="21"/>
  <c r="J110" i="21"/>
  <c r="BY157" i="12"/>
  <c r="L93" i="21" s="1"/>
  <c r="L75" i="21"/>
  <c r="L66" i="21" s="1"/>
  <c r="BK157" i="12"/>
  <c r="K92" i="21" s="1"/>
  <c r="K74" i="21"/>
  <c r="G162" i="12"/>
  <c r="G80" i="21"/>
  <c r="G78" i="21" s="1"/>
  <c r="J97" i="21"/>
  <c r="J115" i="21"/>
  <c r="J65" i="21"/>
  <c r="M49" i="12"/>
  <c r="Z49" i="33" s="1"/>
  <c r="M49" i="33" s="1"/>
  <c r="O6" i="33"/>
  <c r="AN49" i="12"/>
  <c r="O81" i="27"/>
  <c r="BA55" i="12"/>
  <c r="N55" i="12" s="1"/>
  <c r="AA55" i="33" s="1"/>
  <c r="N55" i="33" s="1"/>
  <c r="O81" i="28"/>
  <c r="BN49" i="12"/>
  <c r="O81" i="29"/>
  <c r="CA49" i="12"/>
  <c r="O81" i="30"/>
  <c r="AA38" i="12"/>
  <c r="N38" i="12" s="1"/>
  <c r="AA38" i="33" s="1"/>
  <c r="N38" i="33" s="1"/>
  <c r="O81" i="26"/>
  <c r="L21" i="12"/>
  <c r="Y21" i="33" s="1"/>
  <c r="K43" i="21"/>
  <c r="K50" i="21"/>
  <c r="AB10" i="12"/>
  <c r="O102" i="12"/>
  <c r="AB102" i="33" s="1"/>
  <c r="O102" i="33" s="1"/>
  <c r="K156" i="12"/>
  <c r="K157" i="12" s="1"/>
  <c r="N54" i="12"/>
  <c r="AA54" i="33" s="1"/>
  <c r="N54" i="33" s="1"/>
  <c r="N31" i="12"/>
  <c r="AA31" i="33" s="1"/>
  <c r="N31" i="33" s="1"/>
  <c r="N58" i="12"/>
  <c r="AA58" i="33" s="1"/>
  <c r="N58" i="33" s="1"/>
  <c r="N36" i="12"/>
  <c r="N39" i="12"/>
  <c r="AA39" i="33" s="1"/>
  <c r="N39" i="33" s="1"/>
  <c r="O28" i="12"/>
  <c r="AB28" i="33" s="1"/>
  <c r="O28" i="33" s="1"/>
  <c r="N57" i="12"/>
  <c r="AA57" i="33" s="1"/>
  <c r="N57" i="33" s="1"/>
  <c r="N47" i="12"/>
  <c r="AA47" i="33" s="1"/>
  <c r="N47" i="33" s="1"/>
  <c r="N51" i="12"/>
  <c r="AA51" i="33" s="1"/>
  <c r="N51" i="33" s="1"/>
  <c r="N45" i="12"/>
  <c r="AA45" i="33" s="1"/>
  <c r="N45" i="33" s="1"/>
  <c r="N46" i="12"/>
  <c r="AA46" i="33" s="1"/>
  <c r="N46" i="33" s="1"/>
  <c r="O106" i="12"/>
  <c r="N52" i="12"/>
  <c r="AA52" i="33" s="1"/>
  <c r="N52" i="33" s="1"/>
  <c r="L62" i="12"/>
  <c r="Y62" i="33" s="1"/>
  <c r="N106" i="12"/>
  <c r="AA106" i="33" s="1"/>
  <c r="N106" i="33" s="1"/>
  <c r="W156" i="33"/>
  <c r="J156" i="33" s="1"/>
  <c r="L11" i="12"/>
  <c r="Y11" i="33" s="1"/>
  <c r="M11" i="12"/>
  <c r="Z11" i="33" s="1"/>
  <c r="M11" i="33" s="1"/>
  <c r="M21" i="33" s="1"/>
  <c r="P177" i="34"/>
  <c r="CO157" i="12" s="1"/>
  <c r="O94" i="21" s="1"/>
  <c r="CO156" i="12"/>
  <c r="O76" i="21" s="1"/>
  <c r="O113" i="12"/>
  <c r="O39" i="28"/>
  <c r="BA21" i="12" s="1"/>
  <c r="AB64" i="33"/>
  <c r="O64" i="33" s="1"/>
  <c r="AN11" i="12"/>
  <c r="O39" i="27"/>
  <c r="AN21" i="12" s="1"/>
  <c r="AA11" i="12"/>
  <c r="O39" i="26"/>
  <c r="AA21" i="12" s="1"/>
  <c r="AO16" i="33"/>
  <c r="O16" i="33" s="1"/>
  <c r="P39" i="32"/>
  <c r="AO21" i="33" s="1"/>
  <c r="Z36" i="33"/>
  <c r="M36" i="33" s="1"/>
  <c r="M12" i="21" s="1"/>
  <c r="AO10" i="12"/>
  <c r="N177" i="32"/>
  <c r="AM157" i="33" s="1"/>
  <c r="M88" i="21" s="1"/>
  <c r="M106" i="21" s="1"/>
  <c r="L52" i="21"/>
  <c r="L43" i="21" s="1"/>
  <c r="M177" i="26"/>
  <c r="J61" i="21"/>
  <c r="J69" i="21"/>
  <c r="J59" i="21" s="1"/>
  <c r="M177" i="27"/>
  <c r="Y157" i="12"/>
  <c r="L89" i="21" s="1"/>
  <c r="L107" i="21" s="1"/>
  <c r="P65" i="27"/>
  <c r="AO46" i="12" s="1"/>
  <c r="AO45" i="12"/>
  <c r="P68" i="27"/>
  <c r="AO47" i="12"/>
  <c r="AM62" i="12"/>
  <c r="N176" i="27"/>
  <c r="AB36" i="12"/>
  <c r="AB31" i="12"/>
  <c r="Z62" i="12"/>
  <c r="N176" i="26"/>
  <c r="P68" i="26"/>
  <c r="AB49" i="12" s="1"/>
  <c r="AB47" i="12"/>
  <c r="P65" i="26"/>
  <c r="AB46" i="12" s="1"/>
  <c r="AB45" i="12"/>
  <c r="P68" i="28"/>
  <c r="BB49" i="12" s="1"/>
  <c r="BB47" i="12"/>
  <c r="BB36" i="12"/>
  <c r="BB31" i="12"/>
  <c r="P65" i="28"/>
  <c r="BB46" i="12" s="1"/>
  <c r="BB45" i="12"/>
  <c r="AZ62" i="12"/>
  <c r="N176" i="28"/>
  <c r="AY156" i="12"/>
  <c r="L73" i="21" s="1"/>
  <c r="M177" i="28"/>
  <c r="AX157" i="12"/>
  <c r="K91" i="21" s="1"/>
  <c r="K109" i="21" s="1"/>
  <c r="K64" i="21"/>
  <c r="K67" i="21"/>
  <c r="P65" i="30"/>
  <c r="CB46" i="12" s="1"/>
  <c r="CB45" i="12"/>
  <c r="P68" i="30"/>
  <c r="CB47" i="12"/>
  <c r="BZ62" i="12"/>
  <c r="N176" i="30"/>
  <c r="BZ156" i="12" s="1"/>
  <c r="M177" i="30"/>
  <c r="P65" i="29"/>
  <c r="BO46" i="12" s="1"/>
  <c r="BO45" i="12"/>
  <c r="BO36" i="12"/>
  <c r="BO31" i="12"/>
  <c r="BM62" i="12"/>
  <c r="N176" i="29"/>
  <c r="P68" i="29"/>
  <c r="BO47" i="12"/>
  <c r="BL156" i="12"/>
  <c r="M177" i="29"/>
  <c r="AL157" i="12"/>
  <c r="L90" i="21" s="1"/>
  <c r="L53" i="21"/>
  <c r="L44" i="21" s="1"/>
  <c r="M54" i="21"/>
  <c r="M42" i="21" s="1"/>
  <c r="CB36" i="12"/>
  <c r="AO36" i="12"/>
  <c r="J87" i="21"/>
  <c r="AA10" i="33"/>
  <c r="N10" i="33" s="1"/>
  <c r="P70" i="27"/>
  <c r="AO51" i="12" s="1"/>
  <c r="P73" i="27"/>
  <c r="AO54" i="12" s="1"/>
  <c r="P76" i="27"/>
  <c r="AO57" i="12" s="1"/>
  <c r="P57" i="27"/>
  <c r="AO38" i="12" s="1"/>
  <c r="P76" i="29"/>
  <c r="BO57" i="12" s="1"/>
  <c r="P73" i="29"/>
  <c r="BO54" i="12" s="1"/>
  <c r="P70" i="29"/>
  <c r="BO51" i="12" s="1"/>
  <c r="P57" i="29"/>
  <c r="BO38" i="12" s="1"/>
  <c r="P71" i="28"/>
  <c r="BB52" i="12" s="1"/>
  <c r="P77" i="28"/>
  <c r="BB58" i="12" s="1"/>
  <c r="P58" i="28"/>
  <c r="BB39" i="12" s="1"/>
  <c r="P74" i="28"/>
  <c r="AW159" i="12"/>
  <c r="AW162" i="12" s="1"/>
  <c r="J82" i="21" s="1"/>
  <c r="AJ159" i="12"/>
  <c r="AJ162" i="12" s="1"/>
  <c r="J81" i="21" s="1"/>
  <c r="L62" i="21"/>
  <c r="K62" i="33"/>
  <c r="P71" i="27"/>
  <c r="AO52" i="12" s="1"/>
  <c r="P77" i="27"/>
  <c r="AO58" i="12" s="1"/>
  <c r="P58" i="27"/>
  <c r="AO39" i="12" s="1"/>
  <c r="P74" i="27"/>
  <c r="AO55" i="12" s="1"/>
  <c r="I105" i="21"/>
  <c r="P74" i="29"/>
  <c r="BO55" i="12" s="1"/>
  <c r="P71" i="29"/>
  <c r="BO52" i="12" s="1"/>
  <c r="P58" i="29"/>
  <c r="BO39" i="12" s="1"/>
  <c r="P77" i="29"/>
  <c r="BO58" i="12" s="1"/>
  <c r="P77" i="26"/>
  <c r="AB58" i="12" s="1"/>
  <c r="P71" i="26"/>
  <c r="AB52" i="12" s="1"/>
  <c r="P74" i="26"/>
  <c r="AB55" i="12" s="1"/>
  <c r="P58" i="26"/>
  <c r="AB39" i="12" s="1"/>
  <c r="W157" i="33"/>
  <c r="P57" i="28"/>
  <c r="BB38" i="12" s="1"/>
  <c r="P70" i="28"/>
  <c r="BB51" i="12" s="1"/>
  <c r="P73" i="28"/>
  <c r="BB54" i="12" s="1"/>
  <c r="P76" i="28"/>
  <c r="BB57" i="12" s="1"/>
  <c r="P73" i="26"/>
  <c r="AB54" i="12" s="1"/>
  <c r="P57" i="26"/>
  <c r="P76" i="26"/>
  <c r="AB57" i="12" s="1"/>
  <c r="P70" i="26"/>
  <c r="AB51" i="12" s="1"/>
  <c r="P70" i="30"/>
  <c r="CB51" i="12" s="1"/>
  <c r="P76" i="30"/>
  <c r="CB57" i="12" s="1"/>
  <c r="P57" i="30"/>
  <c r="CB38" i="12" s="1"/>
  <c r="P73" i="30"/>
  <c r="CB54" i="12" s="1"/>
  <c r="P58" i="30"/>
  <c r="CB39" i="12" s="1"/>
  <c r="P71" i="30"/>
  <c r="CB52" i="12" s="1"/>
  <c r="P74" i="30"/>
  <c r="CB55" i="12" s="1"/>
  <c r="P77" i="30"/>
  <c r="CB58" i="12" s="1"/>
  <c r="J157" i="33"/>
  <c r="J11" i="21"/>
  <c r="U159" i="12"/>
  <c r="H159" i="12" s="1"/>
  <c r="T162" i="33"/>
  <c r="G159" i="33"/>
  <c r="G162" i="33" s="1"/>
  <c r="K11" i="33"/>
  <c r="K21" i="33" s="1"/>
  <c r="AA113" i="33"/>
  <c r="O176" i="32"/>
  <c r="AN156" i="33" s="1"/>
  <c r="N70" i="21" s="1"/>
  <c r="AK159" i="33"/>
  <c r="AK162" i="33" s="1"/>
  <c r="K79" i="21" s="1"/>
  <c r="J102" i="21" l="1"/>
  <c r="J119" i="21"/>
  <c r="BK159" i="12"/>
  <c r="BK162" i="12" s="1"/>
  <c r="K83" i="21" s="1"/>
  <c r="K101" i="21" s="1"/>
  <c r="L111" i="21"/>
  <c r="L108" i="21"/>
  <c r="O112" i="21"/>
  <c r="J100" i="21"/>
  <c r="J118" i="21"/>
  <c r="K110" i="21"/>
  <c r="J99" i="21"/>
  <c r="J117" i="21"/>
  <c r="L121" i="21"/>
  <c r="L103" i="21"/>
  <c r="CN159" i="12"/>
  <c r="CN162" i="12" s="1"/>
  <c r="M85" i="21"/>
  <c r="BL157" i="12"/>
  <c r="L92" i="21" s="1"/>
  <c r="L74" i="21"/>
  <c r="BZ157" i="12"/>
  <c r="M93" i="21" s="1"/>
  <c r="M75" i="21"/>
  <c r="M66" i="21" s="1"/>
  <c r="G98" i="21"/>
  <c r="G116" i="21"/>
  <c r="K115" i="21"/>
  <c r="K97" i="21"/>
  <c r="N49" i="12"/>
  <c r="AA49" i="33" s="1"/>
  <c r="N49" i="33" s="1"/>
  <c r="AO49" i="12"/>
  <c r="P81" i="27"/>
  <c r="BB55" i="12"/>
  <c r="O55" i="12" s="1"/>
  <c r="AB55" i="33" s="1"/>
  <c r="O55" i="33" s="1"/>
  <c r="P81" i="28"/>
  <c r="BO49" i="12"/>
  <c r="P81" i="29"/>
  <c r="CB49" i="12"/>
  <c r="P81" i="30"/>
  <c r="AB38" i="12"/>
  <c r="O38" i="12" s="1"/>
  <c r="AB38" i="33" s="1"/>
  <c r="O38" i="33" s="1"/>
  <c r="P81" i="26"/>
  <c r="P29" i="26"/>
  <c r="P39" i="26" s="1"/>
  <c r="AB21" i="12" s="1"/>
  <c r="N11" i="12"/>
  <c r="AA11" i="33" s="1"/>
  <c r="X156" i="33"/>
  <c r="K156" i="33" s="1"/>
  <c r="K157" i="33" s="1"/>
  <c r="O46" i="12"/>
  <c r="AB46" i="33" s="1"/>
  <c r="O46" i="33" s="1"/>
  <c r="O54" i="12"/>
  <c r="AB54" i="33" s="1"/>
  <c r="O54" i="33" s="1"/>
  <c r="O52" i="12"/>
  <c r="AB52" i="33" s="1"/>
  <c r="O52" i="33" s="1"/>
  <c r="O47" i="12"/>
  <c r="AB47" i="33" s="1"/>
  <c r="O47" i="33" s="1"/>
  <c r="O58" i="12"/>
  <c r="AB58" i="33" s="1"/>
  <c r="O58" i="33" s="1"/>
  <c r="N21" i="12"/>
  <c r="M62" i="12"/>
  <c r="Z62" i="33" s="1"/>
  <c r="O31" i="12"/>
  <c r="AB31" i="33" s="1"/>
  <c r="O31" i="33" s="1"/>
  <c r="O51" i="12"/>
  <c r="AB51" i="33" s="1"/>
  <c r="O51" i="33" s="1"/>
  <c r="O36" i="12"/>
  <c r="O57" i="12"/>
  <c r="AB57" i="33" s="1"/>
  <c r="O57" i="33" s="1"/>
  <c r="O39" i="12"/>
  <c r="AB39" i="33" s="1"/>
  <c r="O39" i="33" s="1"/>
  <c r="O45" i="12"/>
  <c r="AB45" i="33" s="1"/>
  <c r="O45" i="33" s="1"/>
  <c r="L156" i="12"/>
  <c r="L157" i="12" s="1"/>
  <c r="BX159" i="12"/>
  <c r="BX162" i="12" s="1"/>
  <c r="K84" i="21" s="1"/>
  <c r="L50" i="21"/>
  <c r="L42" i="21"/>
  <c r="P39" i="27"/>
  <c r="AO21" i="12" s="1"/>
  <c r="J105" i="21"/>
  <c r="AB106" i="33"/>
  <c r="O106" i="33" s="1"/>
  <c r="BB11" i="12"/>
  <c r="BB10" i="12"/>
  <c r="AA36" i="33"/>
  <c r="N36" i="33" s="1"/>
  <c r="N12" i="21" s="1"/>
  <c r="L67" i="21"/>
  <c r="O177" i="32"/>
  <c r="AN157" i="33" s="1"/>
  <c r="N88" i="21" s="1"/>
  <c r="N106" i="21" s="1"/>
  <c r="AM156" i="12"/>
  <c r="M72" i="21" s="1"/>
  <c r="N177" i="27"/>
  <c r="AN62" i="12"/>
  <c r="O176" i="27"/>
  <c r="AN156" i="12" s="1"/>
  <c r="Z156" i="12"/>
  <c r="M71" i="21" s="1"/>
  <c r="N177" i="26"/>
  <c r="AA62" i="12"/>
  <c r="O176" i="26"/>
  <c r="AA156" i="12" s="1"/>
  <c r="N71" i="21" s="1"/>
  <c r="BA62" i="12"/>
  <c r="O176" i="28"/>
  <c r="L64" i="21"/>
  <c r="AY157" i="12"/>
  <c r="L91" i="21" s="1"/>
  <c r="L109" i="21" s="1"/>
  <c r="AZ156" i="12"/>
  <c r="M73" i="21" s="1"/>
  <c r="N177" i="28"/>
  <c r="N177" i="30"/>
  <c r="CA62" i="12"/>
  <c r="O176" i="30"/>
  <c r="CA156" i="12" s="1"/>
  <c r="BM156" i="12"/>
  <c r="N177" i="29"/>
  <c r="BN62" i="12"/>
  <c r="O176" i="29"/>
  <c r="N54" i="21"/>
  <c r="N45" i="21" s="1"/>
  <c r="M45" i="21"/>
  <c r="M50" i="21"/>
  <c r="N55" i="21"/>
  <c r="N46" i="21" s="1"/>
  <c r="N48" i="21"/>
  <c r="K11" i="21"/>
  <c r="K65" i="21"/>
  <c r="K61" i="21"/>
  <c r="K69" i="21"/>
  <c r="K59" i="21" s="1"/>
  <c r="X157" i="33"/>
  <c r="AK159" i="12"/>
  <c r="AK162" i="12" s="1"/>
  <c r="K81" i="21" s="1"/>
  <c r="AX159" i="12"/>
  <c r="AX162" i="12" s="1"/>
  <c r="K82" i="21" s="1"/>
  <c r="L62" i="33"/>
  <c r="G114" i="21"/>
  <c r="G96" i="21"/>
  <c r="U162" i="12"/>
  <c r="U159" i="33"/>
  <c r="N52" i="21"/>
  <c r="L11" i="33"/>
  <c r="L21" i="33" s="1"/>
  <c r="AB113" i="33"/>
  <c r="N113" i="33"/>
  <c r="P176" i="32"/>
  <c r="AO156" i="33" s="1"/>
  <c r="O70" i="21" s="1"/>
  <c r="AL159" i="33"/>
  <c r="AL162" i="33" s="1"/>
  <c r="L79" i="21" s="1"/>
  <c r="K87" i="21"/>
  <c r="K119" i="21" l="1"/>
  <c r="K100" i="21"/>
  <c r="K118" i="21"/>
  <c r="N72" i="21"/>
  <c r="N63" i="21" s="1"/>
  <c r="K117" i="21"/>
  <c r="K99" i="21"/>
  <c r="M121" i="21"/>
  <c r="M103" i="21"/>
  <c r="CO159" i="12"/>
  <c r="CO162" i="12" s="1"/>
  <c r="O85" i="21" s="1"/>
  <c r="N85" i="21"/>
  <c r="BM157" i="12"/>
  <c r="M92" i="21" s="1"/>
  <c r="M74" i="21"/>
  <c r="CA157" i="12"/>
  <c r="N93" i="21" s="1"/>
  <c r="N75" i="21"/>
  <c r="N66" i="21" s="1"/>
  <c r="M111" i="21"/>
  <c r="L110" i="21"/>
  <c r="H162" i="12"/>
  <c r="H80" i="21"/>
  <c r="H78" i="21" s="1"/>
  <c r="K102" i="21"/>
  <c r="K120" i="21"/>
  <c r="L115" i="21"/>
  <c r="L97" i="21"/>
  <c r="L65" i="21"/>
  <c r="O49" i="12"/>
  <c r="AB49" i="33" s="1"/>
  <c r="O49" i="33" s="1"/>
  <c r="AB11" i="12"/>
  <c r="Y156" i="33"/>
  <c r="L156" i="33" s="1"/>
  <c r="L157" i="33" s="1"/>
  <c r="AO11" i="12"/>
  <c r="N62" i="12"/>
  <c r="AA62" i="33" s="1"/>
  <c r="O10" i="12"/>
  <c r="AB10" i="33" s="1"/>
  <c r="O10" i="33" s="1"/>
  <c r="BY159" i="12"/>
  <c r="BY162" i="12" s="1"/>
  <c r="L84" i="21" s="1"/>
  <c r="N62" i="21"/>
  <c r="M156" i="12"/>
  <c r="M157" i="12" s="1"/>
  <c r="P39" i="28"/>
  <c r="BB21" i="12" s="1"/>
  <c r="O21" i="12" s="1"/>
  <c r="AB36" i="33"/>
  <c r="O36" i="33" s="1"/>
  <c r="O12" i="21" s="1"/>
  <c r="L69" i="21"/>
  <c r="L59" i="21" s="1"/>
  <c r="L61" i="21"/>
  <c r="P177" i="32"/>
  <c r="AO157" i="33" s="1"/>
  <c r="O88" i="21" s="1"/>
  <c r="O106" i="21" s="1"/>
  <c r="AA21" i="33"/>
  <c r="AA157" i="12"/>
  <c r="N89" i="21" s="1"/>
  <c r="N107" i="21" s="1"/>
  <c r="M67" i="21"/>
  <c r="O177" i="26"/>
  <c r="O177" i="27"/>
  <c r="AO62" i="12"/>
  <c r="P176" i="27"/>
  <c r="AO156" i="12" s="1"/>
  <c r="Z157" i="12"/>
  <c r="M89" i="21" s="1"/>
  <c r="M107" i="21" s="1"/>
  <c r="AM157" i="12"/>
  <c r="M90" i="21" s="1"/>
  <c r="M108" i="21" s="1"/>
  <c r="M63" i="21"/>
  <c r="AB62" i="12"/>
  <c r="P176" i="26"/>
  <c r="AB156" i="12" s="1"/>
  <c r="O71" i="21" s="1"/>
  <c r="BB62" i="12"/>
  <c r="P176" i="28"/>
  <c r="BB156" i="12" s="1"/>
  <c r="O73" i="21" s="1"/>
  <c r="BA156" i="12"/>
  <c r="N73" i="21" s="1"/>
  <c r="O177" i="28"/>
  <c r="AZ157" i="12"/>
  <c r="M91" i="21" s="1"/>
  <c r="M109" i="21" s="1"/>
  <c r="M64" i="21"/>
  <c r="O177" i="30"/>
  <c r="CB62" i="12"/>
  <c r="P176" i="30"/>
  <c r="BN156" i="12"/>
  <c r="O177" i="29"/>
  <c r="BO62" i="12"/>
  <c r="P176" i="29"/>
  <c r="O52" i="21"/>
  <c r="O55" i="21"/>
  <c r="O46" i="21" s="1"/>
  <c r="AN157" i="12"/>
  <c r="N90" i="21" s="1"/>
  <c r="N53" i="21"/>
  <c r="N44" i="21" s="1"/>
  <c r="O48" i="21"/>
  <c r="L87" i="21"/>
  <c r="K105" i="21"/>
  <c r="AL159" i="12"/>
  <c r="AL162" i="12" s="1"/>
  <c r="L81" i="21" s="1"/>
  <c r="BL159" i="12"/>
  <c r="BL162" i="12" s="1"/>
  <c r="L83" i="21" s="1"/>
  <c r="L11" i="21"/>
  <c r="AY159" i="12"/>
  <c r="AY162" i="12" s="1"/>
  <c r="L82" i="21" s="1"/>
  <c r="M62" i="33"/>
  <c r="Y157" i="33"/>
  <c r="U162" i="33"/>
  <c r="H159" i="33"/>
  <c r="H162" i="33" s="1"/>
  <c r="V159" i="12"/>
  <c r="I159" i="12" s="1"/>
  <c r="N43" i="21"/>
  <c r="O113" i="33"/>
  <c r="AM159" i="33"/>
  <c r="AM162" i="33" s="1"/>
  <c r="M79" i="21" s="1"/>
  <c r="N108" i="21" l="1"/>
  <c r="M110" i="21"/>
  <c r="L118" i="21"/>
  <c r="L100" i="21"/>
  <c r="L117" i="21"/>
  <c r="L99" i="21"/>
  <c r="O72" i="21"/>
  <c r="O63" i="21" s="1"/>
  <c r="N103" i="21"/>
  <c r="N121" i="21"/>
  <c r="O103" i="21"/>
  <c r="O121" i="21"/>
  <c r="N111" i="21"/>
  <c r="BN157" i="12"/>
  <c r="N92" i="21" s="1"/>
  <c r="N74" i="21"/>
  <c r="L119" i="21"/>
  <c r="L101" i="21"/>
  <c r="L120" i="21"/>
  <c r="L102" i="21"/>
  <c r="M115" i="21"/>
  <c r="M97" i="21"/>
  <c r="H98" i="21"/>
  <c r="H116" i="21"/>
  <c r="M65" i="21"/>
  <c r="O11" i="12"/>
  <c r="AB11" i="33" s="1"/>
  <c r="O62" i="12"/>
  <c r="AB62" i="33" s="1"/>
  <c r="Z156" i="33"/>
  <c r="M156" i="33" s="1"/>
  <c r="M157" i="33" s="1"/>
  <c r="N156" i="12"/>
  <c r="N157" i="12" s="1"/>
  <c r="BZ159" i="12"/>
  <c r="BZ162" i="12" s="1"/>
  <c r="M84" i="21" s="1"/>
  <c r="N42" i="21"/>
  <c r="N50" i="21"/>
  <c r="P177" i="27"/>
  <c r="L105" i="21"/>
  <c r="AB157" i="12"/>
  <c r="O89" i="21" s="1"/>
  <c r="O107" i="21" s="1"/>
  <c r="AB21" i="33"/>
  <c r="P177" i="28"/>
  <c r="P177" i="26"/>
  <c r="N64" i="21"/>
  <c r="BA157" i="12"/>
  <c r="N91" i="21" s="1"/>
  <c r="N109" i="21" s="1"/>
  <c r="CB156" i="12"/>
  <c r="O75" i="21" s="1"/>
  <c r="O66" i="21" s="1"/>
  <c r="P177" i="30"/>
  <c r="N67" i="21"/>
  <c r="BO156" i="12"/>
  <c r="P177" i="29"/>
  <c r="BB157" i="12"/>
  <c r="O91" i="21" s="1"/>
  <c r="O109" i="21" s="1"/>
  <c r="O54" i="21"/>
  <c r="O45" i="21" s="1"/>
  <c r="AO157" i="12"/>
  <c r="O90" i="21" s="1"/>
  <c r="O53" i="21"/>
  <c r="O44" i="21" s="1"/>
  <c r="N62" i="33"/>
  <c r="M11" i="21"/>
  <c r="AZ159" i="12"/>
  <c r="AZ162" i="12" s="1"/>
  <c r="M82" i="21" s="1"/>
  <c r="O62" i="21"/>
  <c r="BM159" i="12"/>
  <c r="BM162" i="12" s="1"/>
  <c r="M83" i="21" s="1"/>
  <c r="M62" i="21"/>
  <c r="M61" i="21"/>
  <c r="AM159" i="12"/>
  <c r="AM162" i="12" s="1"/>
  <c r="M81" i="21" s="1"/>
  <c r="Z157" i="33"/>
  <c r="O64" i="21"/>
  <c r="M69" i="21"/>
  <c r="M59" i="21" s="1"/>
  <c r="H96" i="21"/>
  <c r="H114" i="21"/>
  <c r="V162" i="12"/>
  <c r="V159" i="33"/>
  <c r="O43" i="21"/>
  <c r="N11" i="33"/>
  <c r="N21" i="33" s="1"/>
  <c r="AN159" i="33"/>
  <c r="AN162" i="33" s="1"/>
  <c r="N79" i="21" s="1"/>
  <c r="M87" i="21"/>
  <c r="M118" i="21" l="1"/>
  <c r="M100" i="21"/>
  <c r="M117" i="21"/>
  <c r="M99" i="21"/>
  <c r="O108" i="21"/>
  <c r="BO157" i="12"/>
  <c r="O92" i="21" s="1"/>
  <c r="O74" i="21"/>
  <c r="N110" i="21"/>
  <c r="I162" i="12"/>
  <c r="I80" i="21"/>
  <c r="N97" i="21"/>
  <c r="N115" i="21"/>
  <c r="M101" i="21"/>
  <c r="M119" i="21"/>
  <c r="M102" i="21"/>
  <c r="M120" i="21"/>
  <c r="AA156" i="33"/>
  <c r="N156" i="33" s="1"/>
  <c r="N157" i="33" s="1"/>
  <c r="O156" i="12"/>
  <c r="O157" i="12" s="1"/>
  <c r="O50" i="21"/>
  <c r="O42" i="21"/>
  <c r="O67" i="21"/>
  <c r="CB157" i="12"/>
  <c r="O93" i="21" s="1"/>
  <c r="O111" i="21" s="1"/>
  <c r="AA157" i="33"/>
  <c r="M105" i="21"/>
  <c r="N87" i="21"/>
  <c r="BN159" i="12"/>
  <c r="BN162" i="12" s="1"/>
  <c r="N83" i="21" s="1"/>
  <c r="BA159" i="12"/>
  <c r="BA162" i="12" s="1"/>
  <c r="N82" i="21" s="1"/>
  <c r="N11" i="21"/>
  <c r="N65" i="21"/>
  <c r="N69" i="21"/>
  <c r="N59" i="21" s="1"/>
  <c r="N61" i="21"/>
  <c r="AN159" i="12"/>
  <c r="AN162" i="12" s="1"/>
  <c r="N81" i="21" s="1"/>
  <c r="O62" i="33"/>
  <c r="I159" i="33"/>
  <c r="I162" i="33" s="1"/>
  <c r="V162" i="33"/>
  <c r="W159" i="12"/>
  <c r="J159" i="12" s="1"/>
  <c r="O11" i="33"/>
  <c r="O21" i="33" s="1"/>
  <c r="AO159" i="33"/>
  <c r="AO162" i="33" s="1"/>
  <c r="O79" i="21" s="1"/>
  <c r="O97" i="21" s="1"/>
  <c r="N118" i="21" l="1"/>
  <c r="N100" i="21"/>
  <c r="N117" i="21"/>
  <c r="N99" i="21"/>
  <c r="O110" i="21"/>
  <c r="O115" i="21"/>
  <c r="N101" i="21"/>
  <c r="N119" i="21"/>
  <c r="I98" i="21"/>
  <c r="I116" i="21"/>
  <c r="O65" i="21"/>
  <c r="AB156" i="33"/>
  <c r="O156" i="33" s="1"/>
  <c r="O157" i="33" s="1"/>
  <c r="CA159" i="12"/>
  <c r="CA162" i="12" s="1"/>
  <c r="N84" i="21" s="1"/>
  <c r="O69" i="21"/>
  <c r="O59" i="21" s="1"/>
  <c r="O61" i="21"/>
  <c r="O87" i="21"/>
  <c r="N105" i="21"/>
  <c r="AO159" i="12"/>
  <c r="AO162" i="12" s="1"/>
  <c r="O81" i="21" s="1"/>
  <c r="AB157" i="33"/>
  <c r="O11" i="21"/>
  <c r="BB159" i="12"/>
  <c r="BB162" i="12" s="1"/>
  <c r="O82" i="21" s="1"/>
  <c r="BO159" i="12"/>
  <c r="W162" i="12"/>
  <c r="W159" i="33"/>
  <c r="I78" i="21"/>
  <c r="O118" i="21" l="1"/>
  <c r="O100" i="21"/>
  <c r="O117" i="21"/>
  <c r="O99" i="21"/>
  <c r="J162" i="12"/>
  <c r="J80" i="21"/>
  <c r="J78" i="21" s="1"/>
  <c r="J96" i="21" s="1"/>
  <c r="N120" i="21"/>
  <c r="N102" i="21"/>
  <c r="BO162" i="12"/>
  <c r="O83" i="21" s="1"/>
  <c r="CB159" i="12"/>
  <c r="O105" i="21"/>
  <c r="J159" i="33"/>
  <c r="J162" i="33" s="1"/>
  <c r="W162" i="33"/>
  <c r="I114" i="21"/>
  <c r="I96" i="21"/>
  <c r="X159" i="12"/>
  <c r="K159" i="12" s="1"/>
  <c r="J116" i="21" l="1"/>
  <c r="J98" i="21"/>
  <c r="O101" i="21"/>
  <c r="O119" i="21"/>
  <c r="CB162" i="12"/>
  <c r="O84" i="21" s="1"/>
  <c r="J114" i="21"/>
  <c r="X162" i="12"/>
  <c r="X159" i="33"/>
  <c r="K162" i="12" l="1"/>
  <c r="K80" i="21"/>
  <c r="O102" i="21"/>
  <c r="O120" i="21"/>
  <c r="X162" i="33"/>
  <c r="K159" i="33"/>
  <c r="K162" i="33" s="1"/>
  <c r="K78" i="21"/>
  <c r="Y159" i="12"/>
  <c r="L159" i="12" s="1"/>
  <c r="K98" i="21" l="1"/>
  <c r="K116" i="21"/>
  <c r="K96" i="21"/>
  <c r="K114" i="21"/>
  <c r="Y162" i="12"/>
  <c r="Y159" i="33"/>
  <c r="L162" i="12" l="1"/>
  <c r="L80" i="21"/>
  <c r="L159" i="33"/>
  <c r="L162" i="33" s="1"/>
  <c r="Y162" i="33"/>
  <c r="Z159" i="12"/>
  <c r="M159" i="12" s="1"/>
  <c r="L78" i="21"/>
  <c r="L98" i="21" l="1"/>
  <c r="L116" i="21"/>
  <c r="L96" i="21"/>
  <c r="L114" i="21"/>
  <c r="Z162" i="12"/>
  <c r="Z159" i="33"/>
  <c r="M162" i="12" l="1"/>
  <c r="M80" i="21"/>
  <c r="Z162" i="33"/>
  <c r="M159" i="33"/>
  <c r="M162" i="33" s="1"/>
  <c r="AA159" i="12"/>
  <c r="N159" i="12" s="1"/>
  <c r="M78" i="21"/>
  <c r="M116" i="21" l="1"/>
  <c r="M98" i="21"/>
  <c r="M96" i="21"/>
  <c r="M114" i="21"/>
  <c r="AA159" i="33"/>
  <c r="AA162" i="12"/>
  <c r="N162" i="12" l="1"/>
  <c r="N80" i="21"/>
  <c r="N78" i="21" s="1"/>
  <c r="AB159" i="12"/>
  <c r="O159" i="12" s="1"/>
  <c r="N159" i="33"/>
  <c r="N162" i="33" s="1"/>
  <c r="AA162" i="33"/>
  <c r="N98" i="21" l="1"/>
  <c r="N116" i="21"/>
  <c r="N96" i="21"/>
  <c r="N114" i="21"/>
  <c r="AB162" i="12"/>
  <c r="AB159" i="33"/>
  <c r="O162" i="12" l="1"/>
  <c r="O80" i="21"/>
  <c r="AB162" i="33"/>
  <c r="O159" i="33"/>
  <c r="O162" i="33" s="1"/>
  <c r="O78" i="21"/>
  <c r="O96" i="21" s="1"/>
  <c r="O98" i="21" l="1"/>
  <c r="O116" i="21"/>
  <c r="O114" i="21"/>
</calcChain>
</file>

<file path=xl/comments1.xml><?xml version="1.0" encoding="utf-8"?>
<comments xmlns="http://schemas.openxmlformats.org/spreadsheetml/2006/main">
  <authors>
    <author>Judy DeLeon Chavez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Mborrego 5/17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Mborrego 5/17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Equitas #1 invoice/# of employees (Benefit &amp; Risk Management invoice)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per M. Borrego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rate per equitas ytd feb 13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Millenium Alarm Qtrly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ytd gl for feb 13; equitas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prop 39 rent exp per M. Borrego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current GL for Equitas; avg monthly amt paid for approx 46 SPED children</t>
        </r>
      </text>
    </comment>
    <comment ref="D12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monthly GL ytd 2/13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feb 13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TG consulting current rate a/o Feb 13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agreed upon per M. Borrego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MS #2 charter budget p/b ExEd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current equitas rate per enrollment of 450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average $5/day * 182 instructional days; per review of Oct 12 Revolution invoice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estimate per student per qtr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5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not inlude fundraising but does include nslp/csp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12/13 budget dashboard
</t>
        </r>
      </text>
    </comment>
    <comment ref="D27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32 hrs/week (6.5/day) $10/hour 182 instructional days</t>
        </r>
      </text>
    </comment>
  </commentList>
</comments>
</file>

<file path=xl/comments2.xml><?xml version="1.0" encoding="utf-8"?>
<comments xmlns="http://schemas.openxmlformats.org/spreadsheetml/2006/main">
  <authors>
    <author>Judy DeLeon Chavez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Equitas #1 invoice/# of employees (Benefit &amp; Risk Management invoice)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per M. Borrego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rate per equitas ytd feb 13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Millenium Alarm Qtrly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ytd gl for feb 13; equitas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d/w PCSD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current GL for Equitas; avg monthly amt paid for approx 46 SPED children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monthly GL ytd 2/13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feb 13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12/13 budget dashboard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TG consulting current rate a/o Feb 13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agreed upon per M. Borrego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MS #2 charter budget p/b ExEd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current equitas rate per enrollment of 450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average $5/day * 182 instructional days; per review of Oct 12 Revolution invoice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12/13 budget dashboard forecast </t>
        </r>
      </text>
    </comment>
    <comment ref="D12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estimate per student per qtr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not inlude fundraising but does include nslp/csp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12/13 budget dashboard
</t>
        </r>
      </text>
    </comment>
    <comment ref="D26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32 hrs/week (6.5/day) $10/hour 182 instructional days</t>
        </r>
      </text>
    </comment>
  </commentList>
</comments>
</file>

<file path=xl/comments3.xml><?xml version="1.0" encoding="utf-8"?>
<comments xmlns="http://schemas.openxmlformats.org/spreadsheetml/2006/main">
  <authors>
    <author>Judy DeLeon Chavez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Equitas #1 invoice/# of employees (Benefit &amp; Risk Management invoice)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per M. Borrego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avg rate per equitas ytd feb 13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Millenium Alarm Qtrly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Equitas average monthly thru Feb 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ytd gl for feb 13; equitas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d/w PCSD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current GL for Equitas; avg monthly amt paid for approx 46 SPED children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monthly GL ytd 2/13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feb 13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12/13 budget dashboard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TG consulting current rate a/o Feb 13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agreed upon per M. Borrego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MS #2 charter budget p/b ExEd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current equitas rate per enrollment of 450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Judy DeLeon Chavez:
per current equitas rate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average $5/day * 182 instructional days; per review of Oct 12 Revolution invoice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12/13 budget dashboard forecast </t>
        </r>
      </text>
    </comment>
    <comment ref="D12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M. Borrego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estimate per student per qtr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b/o current rate 2/13 for equitas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not inlude fundraising but does include nslp/csp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per review of 12/13 budget dashboard
</t>
        </r>
      </text>
    </comment>
    <comment ref="D261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32 hrs/week (6.5/day) $10/hour 182 instructional days</t>
        </r>
      </text>
    </comment>
  </commentList>
</comments>
</file>

<file path=xl/comments4.xml><?xml version="1.0" encoding="utf-8"?>
<comments xmlns="http://schemas.openxmlformats.org/spreadsheetml/2006/main">
  <authors>
    <author>Judy DeLeon Chavez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Judy DeLeon Chavez:</t>
        </r>
        <r>
          <rPr>
            <sz val="9"/>
            <color indexed="81"/>
            <rFont val="Tahoma"/>
            <family val="2"/>
          </rPr>
          <t xml:space="preserve">
includes testing, art, 
</t>
        </r>
      </text>
    </comment>
  </commentList>
</comments>
</file>

<file path=xl/sharedStrings.xml><?xml version="1.0" encoding="utf-8"?>
<sst xmlns="http://schemas.openxmlformats.org/spreadsheetml/2006/main" count="4317" uniqueCount="768">
  <si>
    <t>FY 2012-2013</t>
  </si>
  <si>
    <t>FY 2013-2014</t>
  </si>
  <si>
    <t>FY 2014-2015</t>
  </si>
  <si>
    <t>FY 2015-2016</t>
  </si>
  <si>
    <t>FY 2016-2017</t>
  </si>
  <si>
    <t>FY 2017-2018</t>
  </si>
  <si>
    <t>Staff Count by Function:</t>
  </si>
  <si>
    <t>Teachers - REG</t>
  </si>
  <si>
    <t>Teachers - SPED</t>
  </si>
  <si>
    <t>Total Count - Teachers Only</t>
  </si>
  <si>
    <t>All Others (excluding Teachers REG &amp; SPED)</t>
  </si>
  <si>
    <t>Total Staff</t>
  </si>
  <si>
    <t>Kindergarten Teacher</t>
  </si>
  <si>
    <t>1st Grade Teacher</t>
  </si>
  <si>
    <t>2nd Grade Teacher</t>
  </si>
  <si>
    <t>3rd Grade Teacher</t>
  </si>
  <si>
    <t>4th Grade Teacher</t>
  </si>
  <si>
    <t>Open</t>
  </si>
  <si>
    <t>Clerical/Technical/Office Staff Salaries</t>
  </si>
  <si>
    <t>Teachers'  Salaries</t>
  </si>
  <si>
    <t>Teachers' Salaries - Stipend/Extra Duty</t>
  </si>
  <si>
    <t>Instructional Aide Salaries</t>
  </si>
  <si>
    <t>Classified Support Salaries</t>
  </si>
  <si>
    <t>Other Classified Salaries</t>
  </si>
  <si>
    <t>A/C</t>
  </si>
  <si>
    <t>Account Name</t>
  </si>
  <si>
    <t>After School Program Leader</t>
  </si>
  <si>
    <t>Lunch Leader/Nutrition</t>
  </si>
  <si>
    <t>Salary COLA</t>
  </si>
  <si>
    <t>STRS -Certificated Positions</t>
  </si>
  <si>
    <t>Medicare</t>
  </si>
  <si>
    <t>Health &amp; Welfare</t>
  </si>
  <si>
    <t>State Unemployment Insurance</t>
  </si>
  <si>
    <t>Worker Compensation</t>
  </si>
  <si>
    <t>403b</t>
  </si>
  <si>
    <t>OASDI - Classified</t>
  </si>
  <si>
    <t>Instructional Supplies</t>
  </si>
  <si>
    <t>Approved Textbooks</t>
  </si>
  <si>
    <t>Books and Other Reference Materials</t>
  </si>
  <si>
    <t>Student Materials/Testing</t>
  </si>
  <si>
    <t>Office Supplies</t>
  </si>
  <si>
    <t>Other Supplies</t>
  </si>
  <si>
    <t>Computer Equipment - Instructional</t>
  </si>
  <si>
    <t>Enrollment</t>
  </si>
  <si>
    <t>Professional Development</t>
  </si>
  <si>
    <t>Flat Rate</t>
  </si>
  <si>
    <t xml:space="preserve">Enrollment </t>
  </si>
  <si>
    <t xml:space="preserve">K </t>
  </si>
  <si>
    <t># of classrooms</t>
  </si>
  <si>
    <t># of total staff</t>
  </si>
  <si>
    <t>Expense COLA</t>
  </si>
  <si>
    <t>Medical COLA</t>
  </si>
  <si>
    <t>Student</t>
  </si>
  <si>
    <t>Textbooks</t>
  </si>
  <si>
    <t>Total</t>
  </si>
  <si>
    <t>Library Books</t>
  </si>
  <si>
    <t># Students</t>
  </si>
  <si>
    <t># Teachers</t>
  </si>
  <si>
    <t>Total Cost</t>
  </si>
  <si>
    <t>Cost</t>
  </si>
  <si>
    <t>K</t>
  </si>
  <si>
    <t>FY 2018-2019</t>
  </si>
  <si>
    <t>FY 2019-2020</t>
  </si>
  <si>
    <t>FY 2020-2021</t>
  </si>
  <si>
    <t>FY 2021-2022</t>
  </si>
  <si>
    <t>FY 2022-2023</t>
  </si>
  <si>
    <t>FY 2023-2024</t>
  </si>
  <si>
    <t>5th Grade Teacher</t>
  </si>
  <si>
    <t>6th Grade Teacher</t>
  </si>
  <si>
    <t>7th Grade Teacher</t>
  </si>
  <si>
    <t>8th Grade Teacher</t>
  </si>
  <si>
    <t>Staffing Headcount</t>
  </si>
  <si>
    <t>Teachers</t>
  </si>
  <si>
    <t>Computer Equipment - Non-Instructional</t>
  </si>
  <si>
    <t>Operation &amp; Housekeeping</t>
  </si>
  <si>
    <t>Rent</t>
  </si>
  <si>
    <t>Repair</t>
  </si>
  <si>
    <t>Professional Services - Instructional</t>
  </si>
  <si>
    <t>Professional Services - Non-Instructional</t>
  </si>
  <si>
    <t>Marketing</t>
  </si>
  <si>
    <t>Government Fees</t>
  </si>
  <si>
    <t xml:space="preserve">Extracurricular </t>
  </si>
  <si>
    <t>Fieldtrips</t>
  </si>
  <si>
    <t>Communications</t>
  </si>
  <si>
    <t>Fundraising Cost</t>
  </si>
  <si>
    <t>Interest Expense</t>
  </si>
  <si>
    <t>Depreciation &amp; Amortization/Capital Exp</t>
  </si>
  <si>
    <t>Housekeeping/Maintenance</t>
  </si>
  <si>
    <t xml:space="preserve">Cumulative (Do Not Edit) </t>
  </si>
  <si>
    <t>ClassRoom Novels</t>
  </si>
  <si>
    <t>per Student</t>
  </si>
  <si>
    <t>Cost per Teacher</t>
  </si>
  <si>
    <r>
      <t xml:space="preserve">Please fill in amounts in </t>
    </r>
    <r>
      <rPr>
        <b/>
        <sz val="11"/>
        <color rgb="FF0070C0"/>
        <rFont val="Calibri"/>
        <family val="2"/>
        <scheme val="minor"/>
      </rPr>
      <t>BLUE</t>
    </r>
  </si>
  <si>
    <t>Added Grade</t>
  </si>
  <si>
    <t>Per Enrollment</t>
  </si>
  <si>
    <t>Non-Capitalized Equipment</t>
  </si>
  <si>
    <t>Monthly Rate</t>
  </si>
  <si>
    <t>Student Laptops</t>
  </si>
  <si>
    <t>Student Software</t>
  </si>
  <si>
    <t>Teacher Laptops</t>
  </si>
  <si>
    <t>Teacher Software</t>
  </si>
  <si>
    <t>Classroom Equipment</t>
  </si>
  <si>
    <t>Per New Enrollment/Replacement @ 3 years</t>
  </si>
  <si>
    <t>Per New Teacher/Replacement @ 3 years</t>
  </si>
  <si>
    <t>Office Computers</t>
  </si>
  <si>
    <t>Other Non-Instructional Equipment</t>
  </si>
  <si>
    <t>Employee Benefits</t>
  </si>
  <si>
    <t>Janitorial Supplies</t>
  </si>
  <si>
    <t>Pest</t>
  </si>
  <si>
    <t>Electric</t>
  </si>
  <si>
    <t>Disposal</t>
  </si>
  <si>
    <t>Gas/heat</t>
  </si>
  <si>
    <t>Monthly</t>
  </si>
  <si>
    <t>SPED Services</t>
  </si>
  <si>
    <t>IEP Development</t>
  </si>
  <si>
    <t>Substitutes</t>
  </si>
  <si>
    <t>Monthly - per Teacher per month</t>
  </si>
  <si>
    <t>SPED Population</t>
  </si>
  <si>
    <t>TFA</t>
  </si>
  <si>
    <t>Legal</t>
  </si>
  <si>
    <t>E-Rate</t>
  </si>
  <si>
    <t>IT</t>
  </si>
  <si>
    <t>Food Service</t>
  </si>
  <si>
    <t xml:space="preserve">Dues </t>
  </si>
  <si>
    <t>Drop the Chalk</t>
  </si>
  <si>
    <t>Website Management</t>
  </si>
  <si>
    <t xml:space="preserve">Edlio - Annual </t>
  </si>
  <si>
    <t>SIS</t>
  </si>
  <si>
    <t xml:space="preserve">Focus School Software  - Annual </t>
  </si>
  <si>
    <t>Grade Tracking</t>
  </si>
  <si>
    <t>Other Dues</t>
  </si>
  <si>
    <t>Student Tracking Software - Qtrly</t>
  </si>
  <si>
    <t>Student Tracking Software - Annual</t>
  </si>
  <si>
    <t>SPED Encroachment</t>
  </si>
  <si>
    <t>Instructional Salaries</t>
  </si>
  <si>
    <t>Non-Instructional Salaries</t>
  </si>
  <si>
    <t>General Purpose Entitlement - Local Revenue (In Lieu of Property Tax)</t>
  </si>
  <si>
    <t>General Purpose Entitlement Block Grant - State Aid Portion</t>
  </si>
  <si>
    <t>Categorical block grant entitlement</t>
  </si>
  <si>
    <t>In lieu of Economic Impact Aid (EIA)</t>
  </si>
  <si>
    <t>Percent students who attend on average day</t>
  </si>
  <si>
    <t>Percent students who are economically disadvantaged</t>
  </si>
  <si>
    <t>Percent students who qualify for free/reduced lunch</t>
  </si>
  <si>
    <t>Percent students who are English Language Learners</t>
  </si>
  <si>
    <t>Estimated ADA</t>
  </si>
  <si>
    <t xml:space="preserve">Students who are economically disadvantaged </t>
  </si>
  <si>
    <t>Students who qualify for free/reduced lunch</t>
  </si>
  <si>
    <t>Students who are English Language Learners</t>
  </si>
  <si>
    <t>Charter Fund Revenue</t>
  </si>
  <si>
    <t>Other State Revenue</t>
  </si>
  <si>
    <t>Federal</t>
  </si>
  <si>
    <t xml:space="preserve">Title I </t>
  </si>
  <si>
    <t xml:space="preserve">Title II </t>
  </si>
  <si>
    <t>Title III</t>
  </si>
  <si>
    <t>Other Revenue</t>
  </si>
  <si>
    <t xml:space="preserve">Special Education </t>
  </si>
  <si>
    <t>Federal Revenues</t>
  </si>
  <si>
    <t xml:space="preserve">Title III </t>
  </si>
  <si>
    <t xml:space="preserve">Federal Nutrition Program </t>
  </si>
  <si>
    <t>ELA 9th</t>
  </si>
  <si>
    <t xml:space="preserve">Math 9th </t>
  </si>
  <si>
    <t xml:space="preserve">ELA 10th </t>
  </si>
  <si>
    <t>Math 10th</t>
  </si>
  <si>
    <t xml:space="preserve">ELA 11th </t>
  </si>
  <si>
    <t xml:space="preserve">Math 11th </t>
  </si>
  <si>
    <t xml:space="preserve">ELA 12th </t>
  </si>
  <si>
    <t xml:space="preserve">Math 12th </t>
  </si>
  <si>
    <t xml:space="preserve">Humanities 9th </t>
  </si>
  <si>
    <t>Humanities 10th</t>
  </si>
  <si>
    <t>Humanities 12th</t>
  </si>
  <si>
    <t xml:space="preserve">HS PE </t>
  </si>
  <si>
    <t>Nurse</t>
  </si>
  <si>
    <t>% of SPED</t>
  </si>
  <si>
    <t xml:space="preserve">Y to Y Growth </t>
  </si>
  <si>
    <t>Enrichment</t>
  </si>
  <si>
    <t>Accounting - ExEd</t>
  </si>
  <si>
    <t>Audit</t>
  </si>
  <si>
    <t>Staffing Salary</t>
  </si>
  <si>
    <t>All Supplies</t>
  </si>
  <si>
    <t>Instructional Materials</t>
  </si>
  <si>
    <t>All Student Materials</t>
  </si>
  <si>
    <t>Management Fee</t>
  </si>
  <si>
    <t>% of State, Local &amp; Federal Revenue</t>
  </si>
  <si>
    <t>Grounds keeping</t>
  </si>
  <si>
    <t>Grade Cam</t>
  </si>
  <si>
    <t>Water &amp; Power</t>
  </si>
  <si>
    <t>Parking</t>
  </si>
  <si>
    <t>Fire Alarm Monitoring</t>
  </si>
  <si>
    <t>Qtrly</t>
  </si>
  <si>
    <t>Therapy Services - Monthly</t>
  </si>
  <si>
    <t>Fingerprinting - per Staff</t>
  </si>
  <si>
    <t>Bank Charges</t>
  </si>
  <si>
    <t>Telephone</t>
  </si>
  <si>
    <t>Internet</t>
  </si>
  <si>
    <t>Leadership Cell Phone</t>
  </si>
  <si>
    <t xml:space="preserve">Monthly - DCI </t>
  </si>
  <si>
    <t>Shipping</t>
  </si>
  <si>
    <t>LOC - Annual fee</t>
  </si>
  <si>
    <t xml:space="preserve">Board - Annual  (High Bar) </t>
  </si>
  <si>
    <t>General Insurance</t>
  </si>
  <si>
    <t>Excess Liability Insurance</t>
  </si>
  <si>
    <t>Student Accident</t>
  </si>
  <si>
    <t>Professional Liability</t>
  </si>
  <si>
    <t>State Nutrition</t>
  </si>
  <si>
    <t>FY 2024-2025</t>
  </si>
  <si>
    <t xml:space="preserve">State Lottery </t>
  </si>
  <si>
    <t>ASES - Afterschool Program</t>
  </si>
  <si>
    <t xml:space="preserve">In Lieu Tier III (Charters after 08-09) </t>
  </si>
  <si>
    <t>Total Other State Revenue</t>
  </si>
  <si>
    <t>Special Education  - IDEA</t>
  </si>
  <si>
    <t>Total Revenue</t>
  </si>
  <si>
    <t>SB740</t>
  </si>
  <si>
    <t>Total Federal</t>
  </si>
  <si>
    <t>Total Charter Fund Revenue</t>
  </si>
  <si>
    <t>Part-time Workers</t>
  </si>
  <si>
    <t>All Schools</t>
  </si>
  <si>
    <t>Total Expenditures</t>
  </si>
  <si>
    <t>Net Income/&lt;Loss&gt;</t>
  </si>
  <si>
    <t>DCI - Middle</t>
  </si>
  <si>
    <t xml:space="preserve">DCI - High </t>
  </si>
  <si>
    <t>Elem Teacher</t>
  </si>
  <si>
    <t>Middle Teachers</t>
  </si>
  <si>
    <t>DCI - Elementary</t>
  </si>
  <si>
    <t>Office Manager - Middle</t>
  </si>
  <si>
    <t>Administrative Assistant - Elementary</t>
  </si>
  <si>
    <t>Administrative Assistant - Middle</t>
  </si>
  <si>
    <t>Administrative Assistant - High School</t>
  </si>
  <si>
    <t>Elementary Enrichment Teacher</t>
  </si>
  <si>
    <t xml:space="preserve">Enrichment Teacher - Middle </t>
  </si>
  <si>
    <t>Dean of Culture - Elementary</t>
  </si>
  <si>
    <t>Dean of Culture - Middle</t>
  </si>
  <si>
    <t>Dean of Culture - High</t>
  </si>
  <si>
    <t>Parent Coordinator - Elementary</t>
  </si>
  <si>
    <t xml:space="preserve">Parent Coordinator - Middle </t>
  </si>
  <si>
    <t>Parent Coordinator - High</t>
  </si>
  <si>
    <t xml:space="preserve">Office Manager - Elementary </t>
  </si>
  <si>
    <t>Office Manager - High</t>
  </si>
  <si>
    <t xml:space="preserve">Operations Manager - Elementary </t>
  </si>
  <si>
    <t>Operations Manager - Middle</t>
  </si>
  <si>
    <t>Operations Manager - High</t>
  </si>
  <si>
    <t>School Psychologist - HS</t>
  </si>
  <si>
    <t xml:space="preserve">School Psychologist (when MS comes on) </t>
  </si>
  <si>
    <t xml:space="preserve">College Counselor - HS </t>
  </si>
  <si>
    <t>School Counselor/Social Worker</t>
  </si>
  <si>
    <t>Humanities 11th</t>
  </si>
  <si>
    <t>Foreign Language - Spanish</t>
  </si>
  <si>
    <t>Foreign Language - French</t>
  </si>
  <si>
    <t>HS Visual Performing Arts</t>
  </si>
  <si>
    <t>High School Sport Director</t>
  </si>
  <si>
    <t>afterschool</t>
  </si>
  <si>
    <t>After School Program Director - Elem</t>
  </si>
  <si>
    <t>After School Program Director - Middle</t>
  </si>
  <si>
    <t>Staffing - Salary</t>
  </si>
  <si>
    <t>Classified Supervisors' and Administrators' Salaries</t>
  </si>
  <si>
    <t>Certificated Supervisors' and Administrators' Salaries</t>
  </si>
  <si>
    <t>(only full time employees)</t>
  </si>
  <si>
    <t>Afterschool</t>
  </si>
  <si>
    <t>Food Service Income</t>
  </si>
  <si>
    <t>Interest Income</t>
  </si>
  <si>
    <t>All other income</t>
  </si>
  <si>
    <t>Grants</t>
  </si>
  <si>
    <t>Fundraising</t>
  </si>
  <si>
    <t>Per Student</t>
  </si>
  <si>
    <t>Other Local Revenue</t>
  </si>
  <si>
    <t>Fair Share Costs</t>
  </si>
  <si>
    <t>District Oversight Fee</t>
  </si>
  <si>
    <t>Amortization Schedules Loans</t>
  </si>
  <si>
    <t>Summary Tab</t>
  </si>
  <si>
    <t>Principle</t>
  </si>
  <si>
    <t>Interest</t>
  </si>
  <si>
    <t xml:space="preserve">% State, Local </t>
  </si>
  <si>
    <t>Title VB, Charter School Grant</t>
  </si>
  <si>
    <t>$575K Estimate</t>
  </si>
  <si>
    <t>Grant #1</t>
  </si>
  <si>
    <t>Grant #2</t>
  </si>
  <si>
    <t xml:space="preserve">All Other Local </t>
  </si>
  <si>
    <t>Amount = AfterSchool Salaries</t>
  </si>
  <si>
    <t>Amount = AfterSchoool Salaries</t>
  </si>
  <si>
    <t>Per SPED Population (10%) for 10 mo's</t>
  </si>
  <si>
    <t xml:space="preserve">Per CDE Revolving Loan Amort ($250K in Yr 2) </t>
  </si>
  <si>
    <t>Year 2</t>
  </si>
  <si>
    <t>Year 3</t>
  </si>
  <si>
    <t>Year 4</t>
  </si>
  <si>
    <t>Year 5</t>
  </si>
  <si>
    <t>Year 6</t>
  </si>
  <si>
    <t xml:space="preserve">Total </t>
  </si>
  <si>
    <t>Part-Time Workers</t>
  </si>
  <si>
    <t>Revenue</t>
  </si>
  <si>
    <t>breakeven</t>
  </si>
  <si>
    <t>Travel</t>
  </si>
  <si>
    <t>Total Organization</t>
  </si>
  <si>
    <t>Per New Admin&amp;Enrich/Replacement @ 3 years</t>
  </si>
  <si>
    <t>All Other FullTime</t>
  </si>
  <si>
    <t>PartTime</t>
  </si>
  <si>
    <t>BASE</t>
  </si>
  <si>
    <t>Walton Grant</t>
  </si>
  <si>
    <t># of Schools</t>
  </si>
  <si>
    <t>Per Pupil, reduced by 10% with incoming Equitas #3</t>
  </si>
  <si>
    <t>Per Additional Enrollment/5 yr replacement (@75% rate)</t>
  </si>
  <si>
    <t>Monthly/Enrollment</t>
  </si>
  <si>
    <t>Water &amp; Sanitation - Monthly/Enrollment</t>
  </si>
  <si>
    <t>Board - Annual  (High Bar)  - at CMO</t>
  </si>
  <si>
    <t>Flat Rate - at CMO</t>
  </si>
  <si>
    <t>CCSA - at CMO</t>
  </si>
  <si>
    <t>EdJoin - at CMO</t>
  </si>
  <si>
    <t>Monthly  - at CMO</t>
  </si>
  <si>
    <t>Enrollment - at CMO 14/15</t>
  </si>
  <si>
    <t>Enrollment -at CMO</t>
  </si>
  <si>
    <t>Student Chairs</t>
  </si>
  <si>
    <t>Student Desks</t>
  </si>
  <si>
    <t>Other FF&amp;E</t>
  </si>
  <si>
    <t>Bookshelves</t>
  </si>
  <si>
    <t>White Boards</t>
  </si>
  <si>
    <t>Printers</t>
  </si>
  <si>
    <t>Admin Health &amp; Safety Items (First Aid, Fire Extinguishers, Flashlights)</t>
  </si>
  <si>
    <t>Admin Clocks &amp; Bells</t>
  </si>
  <si>
    <t>Computers / Software</t>
  </si>
  <si>
    <t>Printers/scanners</t>
  </si>
  <si>
    <t>Servers</t>
  </si>
  <si>
    <t>Telephones/Fax</t>
  </si>
  <si>
    <t>Projectors</t>
  </si>
  <si>
    <t>TV/VCR sets w/ carts</t>
  </si>
  <si>
    <t>Teachers' Desks/Chairs</t>
  </si>
  <si>
    <t>Teachers' Filing/Storage Cabinets</t>
  </si>
  <si>
    <t>Admin Desks &amp; Chairs</t>
  </si>
  <si>
    <t>Admin Filing/Storage Cabinets</t>
  </si>
  <si>
    <t>Per New Enrollment/Replacement @ 5 years</t>
  </si>
  <si>
    <t>Per New Teacher/Replacement @ 5 years</t>
  </si>
  <si>
    <t>Per new Office Staff/Replacement 5 yrs</t>
  </si>
  <si>
    <t>Replacement every 5 yrs</t>
  </si>
  <si>
    <t>Main Assumptions</t>
  </si>
  <si>
    <t>Full-Time Employees</t>
  </si>
  <si>
    <t>Central Office</t>
  </si>
  <si>
    <t>Student/FTE Ratio</t>
  </si>
  <si>
    <t>Revenue per Student (schools only)</t>
  </si>
  <si>
    <t>Expenses per Student (including Central Office)</t>
  </si>
  <si>
    <t>Expenses per Student (schools only)</t>
  </si>
  <si>
    <t>Total Expenses</t>
  </si>
  <si>
    <t>Cash Balance</t>
  </si>
  <si>
    <t>Net Income (Loss)</t>
  </si>
  <si>
    <t>Elem Teacher Needed</t>
  </si>
  <si>
    <t>Principle Payments</t>
  </si>
  <si>
    <t>Year 1</t>
  </si>
  <si>
    <t>Loans</t>
  </si>
  <si>
    <t>Beginning Cash</t>
  </si>
  <si>
    <t>Ending Cash</t>
  </si>
  <si>
    <t>Amount = Afterschool Salaries + 10% PR Taxes</t>
  </si>
  <si>
    <t>Bonus % of Total Salary</t>
  </si>
  <si>
    <t xml:space="preserve">Inflexion Fund </t>
  </si>
  <si>
    <t>Per Enrollment - Prop 39 1st 2 yrs @$600/$900 thereafter</t>
  </si>
  <si>
    <t>Begin Yr 3</t>
  </si>
  <si>
    <t>Nevada State High School</t>
  </si>
  <si>
    <t>FY 2025-2026</t>
  </si>
  <si>
    <t>FY 2026-2027</t>
  </si>
  <si>
    <t>Nevada State High School's</t>
  </si>
  <si>
    <t>Site #5</t>
  </si>
  <si>
    <t>Site #4</t>
  </si>
  <si>
    <t>Site #2</t>
  </si>
  <si>
    <t xml:space="preserve">Site #2 (Summerlin) </t>
  </si>
  <si>
    <t>Only Enter Figures in Blue</t>
  </si>
  <si>
    <t>Site #1</t>
  </si>
  <si>
    <t>Site #3</t>
  </si>
  <si>
    <t>State Revenue</t>
  </si>
  <si>
    <t>Other_01</t>
  </si>
  <si>
    <t>Other_02</t>
  </si>
  <si>
    <t>Other_03</t>
  </si>
  <si>
    <t>Distributive School Account (DSA)</t>
  </si>
  <si>
    <t>Estimated ADE</t>
  </si>
  <si>
    <t>FY 2027-2028</t>
  </si>
  <si>
    <t>E-rate</t>
  </si>
  <si>
    <t>Special Education | Per Pupil Amount</t>
  </si>
  <si>
    <t>Personnel Services Salaries</t>
  </si>
  <si>
    <t>Regular Employees Paid to Teachers</t>
  </si>
  <si>
    <t>Temporary Employees Paid Support Staff</t>
  </si>
  <si>
    <t>Additional Compensation Paid to Teachers</t>
  </si>
  <si>
    <t>Additional Compensation Paid to Licensed Admin.</t>
  </si>
  <si>
    <t>Additional Compensation Paid to Support Staff</t>
  </si>
  <si>
    <t>Regular Employees Paid to Support Staff</t>
  </si>
  <si>
    <t>Group Insurance for Licensed Admin.</t>
  </si>
  <si>
    <t>Group Insurance for Support Staff</t>
  </si>
  <si>
    <t>Social Security for Temporary Support Staff</t>
  </si>
  <si>
    <t>Group Insurance for Teachers</t>
  </si>
  <si>
    <t>Regular Employees Paid to Licensed Admin.</t>
  </si>
  <si>
    <t>Medicare Payments for Teachers</t>
  </si>
  <si>
    <t>Medicare Payments for Licensed Admin.</t>
  </si>
  <si>
    <t>Medicare Payments for Support Staff</t>
  </si>
  <si>
    <t>State Unemployment Paid for Teachers</t>
  </si>
  <si>
    <t>State Unemployment Paid for Licensed Admin.</t>
  </si>
  <si>
    <t>State Unemployment Paid for Support Staff</t>
  </si>
  <si>
    <t>Worker's Compensation Paid for Teachers</t>
  </si>
  <si>
    <t>Worker's Compensation for Licensed Admin.</t>
  </si>
  <si>
    <t>Worker's Compensation for Support Staff</t>
  </si>
  <si>
    <t>Health Benefits Paid for Teachers</t>
  </si>
  <si>
    <t>Health Benefits Paid for Licensed Admin.</t>
  </si>
  <si>
    <t>Health Benefits Paid for Support Staff</t>
  </si>
  <si>
    <t>Student Worker #1</t>
  </si>
  <si>
    <t>Student Worker #2</t>
  </si>
  <si>
    <t>Open_01</t>
  </si>
  <si>
    <t>Open_02</t>
  </si>
  <si>
    <t>Open_03</t>
  </si>
  <si>
    <t>Open_04</t>
  </si>
  <si>
    <t>6111EE</t>
  </si>
  <si>
    <t>6111ER</t>
  </si>
  <si>
    <t>6114EE</t>
  </si>
  <si>
    <t>6114ER</t>
  </si>
  <si>
    <t>Total Regular Employees Paid to Teachers</t>
  </si>
  <si>
    <t>Total Regular Employees Paid to Licensed Admin.</t>
  </si>
  <si>
    <t>6117EE</t>
  </si>
  <si>
    <t>6117ER</t>
  </si>
  <si>
    <t>Total Regular Employees Paid to Support Staff</t>
  </si>
  <si>
    <t>Educational Advising Coordinator (PERS = EE)</t>
  </si>
  <si>
    <t>Director of Site Administration (PERS = ER)</t>
  </si>
  <si>
    <t>6231EE</t>
  </si>
  <si>
    <t>6231ER</t>
  </si>
  <si>
    <t>Total Retirement Contributions for Teachers</t>
  </si>
  <si>
    <t>6234EE</t>
  </si>
  <si>
    <t>6234ER</t>
  </si>
  <si>
    <t>Total Retirement Contributions for Licensed Admin.</t>
  </si>
  <si>
    <t>6237EE</t>
  </si>
  <si>
    <t>6237ER</t>
  </si>
  <si>
    <t>Retirement Contributions for Teachers PERS EE/ER</t>
  </si>
  <si>
    <t>Retirement Contributions for Teachers PERS ER</t>
  </si>
  <si>
    <t>Teachers - REG with Healthcare</t>
  </si>
  <si>
    <t>Administration with Healthcare</t>
  </si>
  <si>
    <t>All Others with Healthcare (excluding Teachers)</t>
  </si>
  <si>
    <t>Total Retirement Contributions for Support Staff</t>
  </si>
  <si>
    <t>Medical/Healthcare COLA</t>
  </si>
  <si>
    <t>Total State Revenue</t>
  </si>
  <si>
    <t>Total Federal Revenue</t>
  </si>
  <si>
    <t xml:space="preserve">Total Other Revenue </t>
  </si>
  <si>
    <t>Professional and Technical Services</t>
  </si>
  <si>
    <t>Health Nurse</t>
  </si>
  <si>
    <t>Guidance</t>
  </si>
  <si>
    <t>Psychological</t>
  </si>
  <si>
    <t>Professional Educational Services</t>
  </si>
  <si>
    <t>Professional Training and Development</t>
  </si>
  <si>
    <t>Professional Development for Teachers</t>
  </si>
  <si>
    <t>Professional Development for Licensed Admin.</t>
  </si>
  <si>
    <t>Professional Development for Support Staff</t>
  </si>
  <si>
    <t>Professional Technology Training</t>
  </si>
  <si>
    <t>Other Professioal Services</t>
  </si>
  <si>
    <t>ACT WorkKeys</t>
  </si>
  <si>
    <t>ACT Engage</t>
  </si>
  <si>
    <t>Utility Services</t>
  </si>
  <si>
    <t>Cleaning Services</t>
  </si>
  <si>
    <t>Utility, Cleaning, Repair, and Maintenance</t>
  </si>
  <si>
    <t>College Tuition</t>
  </si>
  <si>
    <t>Insurance</t>
  </si>
  <si>
    <t>Student Transportation</t>
  </si>
  <si>
    <t>Property Insurance ''Business Owners''</t>
  </si>
  <si>
    <t>Directors Liability Insuarnce "General"</t>
  </si>
  <si>
    <t>Directors Liability Insuarnce "Excess Coverage"</t>
  </si>
  <si>
    <t>Directors Liability Insuarnce "Errors and Omiss."</t>
  </si>
  <si>
    <t>Postage and Mass Communication</t>
  </si>
  <si>
    <t>Cell Phones</t>
  </si>
  <si>
    <t>Internet Service Provider Backup</t>
  </si>
  <si>
    <r>
      <t xml:space="preserve">Internet Service Provider Main </t>
    </r>
    <r>
      <rPr>
        <sz val="11"/>
        <color rgb="FFFF0000"/>
        <rFont val="Calibri"/>
        <family val="2"/>
        <scheme val="minor"/>
      </rPr>
      <t>(Erate)</t>
    </r>
  </si>
  <si>
    <t>Instruction Liability Insurance "General"</t>
  </si>
  <si>
    <t>instruction Liability Insurance "Excess Coverage"</t>
  </si>
  <si>
    <t>Facility Assumptions</t>
  </si>
  <si>
    <t>Amount per square foot</t>
  </si>
  <si>
    <t>Number of square feet</t>
  </si>
  <si>
    <t>Annual amount of rent</t>
  </si>
  <si>
    <t>Repair, Maintenance, and Grounds</t>
  </si>
  <si>
    <t>Lease of Building including CAMs</t>
  </si>
  <si>
    <t>General Supplies</t>
  </si>
  <si>
    <t>Electricity</t>
  </si>
  <si>
    <t xml:space="preserve">College Textbooks and Lab Fees </t>
  </si>
  <si>
    <t>College Distance Education Fees</t>
  </si>
  <si>
    <t>Software and Online Portals</t>
  </si>
  <si>
    <t>Dropbox</t>
  </si>
  <si>
    <t>ActiTime</t>
  </si>
  <si>
    <t>TrackVia</t>
  </si>
  <si>
    <t>Help Ticket Portal</t>
  </si>
  <si>
    <t>Squidix Website/LMS Hosting</t>
  </si>
  <si>
    <t>Survey Monkey</t>
  </si>
  <si>
    <t>Study Island</t>
  </si>
  <si>
    <t>KeyTrain</t>
  </si>
  <si>
    <t>Tutor for English Proficiency</t>
  </si>
  <si>
    <t>Tutor for Science Proficiency</t>
  </si>
  <si>
    <t>Tutor for Math Proficiency</t>
  </si>
  <si>
    <t>Presenter at Courses</t>
  </si>
  <si>
    <t>Services for Gradding Papers</t>
  </si>
  <si>
    <t>Technology Lab Coverage</t>
  </si>
  <si>
    <t>Professional Services Lawyer</t>
  </si>
  <si>
    <t>Professional Services Sponsorship Fees</t>
  </si>
  <si>
    <t>Annual percentage based on State Revenue</t>
  </si>
  <si>
    <t>Accuplacers</t>
  </si>
  <si>
    <t>Professional Services Accountant</t>
  </si>
  <si>
    <t>Professional Services Accountanting Software</t>
  </si>
  <si>
    <t>Professional Services Annual Audit</t>
  </si>
  <si>
    <t>Constant Contact</t>
  </si>
  <si>
    <t>Advertising</t>
  </si>
  <si>
    <t>Technology Services</t>
  </si>
  <si>
    <t>Assessment Services</t>
  </si>
  <si>
    <t>Retirement Contr. for Support Staff PERS EE/ER</t>
  </si>
  <si>
    <t>Retirement Contr. for Support Staff PERS ER</t>
  </si>
  <si>
    <t>Retirement Contr. for Licensed Admin. PERS ER</t>
  </si>
  <si>
    <t>Retirement Contr. for Licensed Admin. PERS EE/ER</t>
  </si>
  <si>
    <t>Computers</t>
  </si>
  <si>
    <t>Copy Machine</t>
  </si>
  <si>
    <t>Equipment</t>
  </si>
  <si>
    <t>Dues and Fees</t>
  </si>
  <si>
    <t>Money Orders for Textbooks Fall</t>
  </si>
  <si>
    <t>Money Orders for Textbooks Spring</t>
  </si>
  <si>
    <t>Money Orders for each month</t>
  </si>
  <si>
    <t>Professional Membership ASCD</t>
  </si>
  <si>
    <t>Professional Membership EdWeek</t>
  </si>
  <si>
    <t>Bank Client Analysis Charges</t>
  </si>
  <si>
    <t>Other Micellaneous Fees</t>
  </si>
  <si>
    <t>Line of Credit</t>
  </si>
  <si>
    <t>Revolving Loan Account</t>
  </si>
  <si>
    <t>Renegotiated for 3yrs FY1617 to FY1819</t>
  </si>
  <si>
    <t>Estimated for FY1920 with same facility</t>
  </si>
  <si>
    <t>Chief Academic Officer (PERS = ER)</t>
  </si>
  <si>
    <t>Chief Operations Officer (PERS = ER)</t>
  </si>
  <si>
    <t>Services for Grading Papers</t>
  </si>
  <si>
    <t>Professional Services Sponsorship Fee</t>
  </si>
  <si>
    <t>Professional Services Accounting Software</t>
  </si>
  <si>
    <t>Other Professional Services</t>
  </si>
  <si>
    <t>Total Enrollment</t>
  </si>
  <si>
    <t>12th Graders</t>
  </si>
  <si>
    <t>11th Graders</t>
  </si>
  <si>
    <t>Grade 11</t>
  </si>
  <si>
    <t>Grade 12</t>
  </si>
  <si>
    <t>Professional Memberships Other</t>
  </si>
  <si>
    <t>Total All Schools</t>
  </si>
  <si>
    <t>24 Mo' Payments</t>
  </si>
  <si>
    <t>Rate (estimated)</t>
  </si>
  <si>
    <t>Year 7</t>
  </si>
  <si>
    <t>Year 8</t>
  </si>
  <si>
    <t>Year 9</t>
  </si>
  <si>
    <t>Year 10</t>
  </si>
  <si>
    <t>Student Worker #3</t>
  </si>
  <si>
    <t>Student Worker #4</t>
  </si>
  <si>
    <t xml:space="preserve">          Salary</t>
  </si>
  <si>
    <t xml:space="preserve">          Expenses</t>
  </si>
  <si>
    <t>COLA on Current BASE Funding Rate  (Conservative)</t>
  </si>
  <si>
    <t xml:space="preserve">          Health Insurance</t>
  </si>
  <si>
    <t>Public Employee Reitrement System COLA</t>
  </si>
  <si>
    <t>Part-time Worker #1</t>
  </si>
  <si>
    <t>Will work from school sites or off site</t>
  </si>
  <si>
    <t>Initial base wages and hourly employees</t>
  </si>
  <si>
    <t xml:space="preserve">          Public Employee Retirement System</t>
  </si>
  <si>
    <t>Central Office (out of total enrollment)</t>
  </si>
  <si>
    <t xml:space="preserve">          Health Insurance - % of Salaries</t>
  </si>
  <si>
    <r>
      <rPr>
        <b/>
        <sz val="14"/>
        <color theme="1"/>
        <rFont val="Calibri"/>
        <family val="2"/>
        <scheme val="minor"/>
      </rPr>
      <t>Annual Inflation</t>
    </r>
    <r>
      <rPr>
        <sz val="14"/>
        <color theme="1"/>
        <rFont val="Calibri"/>
        <family val="2"/>
        <scheme val="minor"/>
      </rPr>
      <t xml:space="preserve"> - Expenses (all years)</t>
    </r>
  </si>
  <si>
    <r>
      <rPr>
        <b/>
        <sz val="14"/>
        <color theme="1"/>
        <rFont val="Calibri"/>
        <family val="2"/>
        <scheme val="minor"/>
      </rPr>
      <t>Annual Inflation</t>
    </r>
    <r>
      <rPr>
        <sz val="14"/>
        <color theme="1"/>
        <rFont val="Calibri"/>
        <family val="2"/>
        <scheme val="minor"/>
      </rPr>
      <t xml:space="preserve"> - Revenue (all years)</t>
    </r>
  </si>
  <si>
    <r>
      <rPr>
        <b/>
        <sz val="14"/>
        <color theme="1"/>
        <rFont val="Calibri"/>
        <family val="2"/>
        <scheme val="minor"/>
      </rPr>
      <t>Employee Benefits</t>
    </r>
    <r>
      <rPr>
        <sz val="14"/>
        <color theme="1"/>
        <rFont val="Calibri"/>
        <family val="2"/>
        <scheme val="minor"/>
      </rPr>
      <t xml:space="preserve"> - % of Salaries</t>
    </r>
  </si>
  <si>
    <t>Total of All Schools</t>
  </si>
  <si>
    <t xml:space="preserve">Surplus Margin </t>
  </si>
  <si>
    <t>Unrestricted Days Cash</t>
  </si>
  <si>
    <t xml:space="preserve">Cash Flow </t>
  </si>
  <si>
    <t>Central Services</t>
  </si>
  <si>
    <t>Lease other facilities for courese</t>
  </si>
  <si>
    <r>
      <rPr>
        <b/>
        <sz val="14"/>
        <color theme="1"/>
        <rFont val="Calibri"/>
        <family val="2"/>
        <scheme val="minor"/>
      </rPr>
      <t>Central Service Allocation</t>
    </r>
    <r>
      <rPr>
        <sz val="14"/>
        <color theme="1"/>
        <rFont val="Calibri"/>
        <family val="2"/>
        <scheme val="minor"/>
      </rPr>
      <t xml:space="preserve">  - (per student)</t>
    </r>
  </si>
  <si>
    <t>Distributed School Account (DSA) | Amt/Stu (CLARK)</t>
  </si>
  <si>
    <t>Distributed School Account (DSA) | Amt/Stu (WASHOE)</t>
  </si>
  <si>
    <t>Salary</t>
  </si>
  <si>
    <t>25 hrs/wk X $8.50/hr X 52 wks = $12,000</t>
  </si>
  <si>
    <t>Tuition for BYU</t>
  </si>
  <si>
    <t>Tuition for CSN</t>
  </si>
  <si>
    <t>Tuition for GBC</t>
  </si>
  <si>
    <t>Lab Fees for CSN</t>
  </si>
  <si>
    <t>Lab Fees for GBC</t>
  </si>
  <si>
    <t>College Textbooks and Lab Fees</t>
  </si>
  <si>
    <t>College Tuition for Classes</t>
  </si>
  <si>
    <t>Distance Education Fees CSN</t>
  </si>
  <si>
    <t>Distance Education Fees GBC</t>
  </si>
  <si>
    <t>Total Regular EEs Paid to Licensed Admin.</t>
  </si>
  <si>
    <t>Regular EEs Paid to Support Staff</t>
  </si>
  <si>
    <t>Total Regular EEs Paid to Support Staff</t>
  </si>
  <si>
    <t>Additional Comp. Paid to Teachers</t>
  </si>
  <si>
    <t>Additional Comp. Paid to Licensed Admin.</t>
  </si>
  <si>
    <t>Additional Comp. Paid to Support Staff</t>
  </si>
  <si>
    <t>Total Retirement Contr. for Lic. Admin.</t>
  </si>
  <si>
    <t>Internet Service Provider Main (Erate)</t>
  </si>
  <si>
    <t>Total Other Revenue</t>
  </si>
  <si>
    <t>Professional Services Management Fee</t>
  </si>
  <si>
    <t>Professional Training and Dev.</t>
  </si>
  <si>
    <t>Services - Non-Instr, (Internet, Pstg, Phn.)</t>
  </si>
  <si>
    <t>Grade</t>
  </si>
  <si>
    <t>All Students in Network</t>
  </si>
  <si>
    <t>SPED Population at School</t>
  </si>
  <si>
    <t>Annual number of 2wk/transition $250: CSO</t>
  </si>
  <si>
    <t>Lease other facilities for courses</t>
  </si>
  <si>
    <t>Annual amount per student</t>
  </si>
  <si>
    <t>Monthly amount average based on previous charges</t>
  </si>
  <si>
    <t>Annual amount per student: CSO</t>
  </si>
  <si>
    <t>Annual amount for other facilities UNLV: CSO</t>
  </si>
  <si>
    <t>Annual amount rent &amp; Common Area Maintenance</t>
  </si>
  <si>
    <t xml:space="preserve">Monthly amount </t>
  </si>
  <si>
    <t>Monthly amount water bill</t>
  </si>
  <si>
    <t>Annual number of hours at $10/hr</t>
  </si>
  <si>
    <t>Annual amount per paper graded for all students</t>
  </si>
  <si>
    <t>Presenters at Courses</t>
  </si>
  <si>
    <t>Educational Services (RATE_01)</t>
  </si>
  <si>
    <t>Educational Services (RATE_02)</t>
  </si>
  <si>
    <t>Educational Services (RATE_03)</t>
  </si>
  <si>
    <t>Annual number of hours at $40/hr</t>
  </si>
  <si>
    <t>Educational Services (RATE_04)</t>
  </si>
  <si>
    <t>Annual number of hours at $25/hr</t>
  </si>
  <si>
    <t>Annual number of hours at $55/hr</t>
  </si>
  <si>
    <t>Amount per student evalulation rate (half of sped. pop)</t>
  </si>
  <si>
    <r>
      <t xml:space="preserve">Annual amount - </t>
    </r>
    <r>
      <rPr>
        <b/>
        <sz val="11"/>
        <rFont val="Calibri"/>
        <family val="2"/>
        <scheme val="minor"/>
      </rPr>
      <t>school may budget more</t>
    </r>
    <r>
      <rPr>
        <sz val="11"/>
        <color theme="0" tint="-0.34998626667073579"/>
        <rFont val="Calibri"/>
        <family val="2"/>
        <scheme val="minor"/>
      </rPr>
      <t>: CSO</t>
    </r>
  </si>
  <si>
    <r>
      <t xml:space="preserve">Monthly amount - </t>
    </r>
    <r>
      <rPr>
        <b/>
        <sz val="11"/>
        <rFont val="Calibri"/>
        <family val="2"/>
        <scheme val="minor"/>
      </rPr>
      <t>school may budget more</t>
    </r>
    <r>
      <rPr>
        <sz val="11"/>
        <color theme="0" tint="-0.34998626667073579"/>
        <rFont val="Calibri"/>
        <family val="2"/>
        <scheme val="minor"/>
      </rPr>
      <t>: CSO</t>
    </r>
  </si>
  <si>
    <t>Help Ticket Portal &amp; School Service_01</t>
  </si>
  <si>
    <t>Squidix Website/LMS Hosting &amp; School Service_02</t>
  </si>
  <si>
    <t>Constant Contact&amp; School Service_03</t>
  </si>
  <si>
    <t>Survey Monkey&amp; School Service_04</t>
  </si>
  <si>
    <t>Study Island&amp; School Service_05</t>
  </si>
  <si>
    <t>KeyTrain&amp; School Service_06</t>
  </si>
  <si>
    <t>Dropbox&amp; School Service_07</t>
  </si>
  <si>
    <t>ActiTime&amp; School Service_08</t>
  </si>
  <si>
    <t>TrackVia&amp; School Service_09</t>
  </si>
  <si>
    <t>Marketing for Graphics/Outreach</t>
  </si>
  <si>
    <t>Advertising Job Postings</t>
  </si>
  <si>
    <r>
      <t xml:space="preserve">Annual # of hrs. @ $50/hr - </t>
    </r>
    <r>
      <rPr>
        <b/>
        <sz val="11"/>
        <rFont val="Calibri"/>
        <family val="2"/>
        <scheme val="minor"/>
      </rPr>
      <t>school may bgt. more</t>
    </r>
    <r>
      <rPr>
        <sz val="11"/>
        <color theme="0" tint="-0.34998626667073579"/>
        <rFont val="Calibri"/>
        <family val="2"/>
        <scheme val="minor"/>
      </rPr>
      <t>: CSO</t>
    </r>
  </si>
  <si>
    <t>Amount of one machine every six years</t>
  </si>
  <si>
    <t>Amount of one server every five years</t>
  </si>
  <si>
    <t>Amount per money order for all students</t>
  </si>
  <si>
    <t>Number of monthly orders per month at $5/mny odr.</t>
  </si>
  <si>
    <t>Annual amount</t>
  </si>
  <si>
    <t>Monthly amount CenturyLink/Cox/Etc (non-erate)</t>
  </si>
  <si>
    <t>Annual amount per student "Total Buddy Up Program"</t>
  </si>
  <si>
    <r>
      <t>Monthly amount avg. per full-time staff member</t>
    </r>
    <r>
      <rPr>
        <sz val="11"/>
        <color theme="0" tint="-0.34998626667073579"/>
        <rFont val="Calibri"/>
        <family val="2"/>
        <scheme val="minor"/>
      </rPr>
      <t>: CSO</t>
    </r>
  </si>
  <si>
    <r>
      <rPr>
        <b/>
        <sz val="11"/>
        <color theme="1"/>
        <rFont val="Calibri"/>
        <family val="2"/>
        <scheme val="minor"/>
      </rPr>
      <t>Annual amount avg. per full-time staff member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</si>
  <si>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avg. per full-time staff member</t>
    </r>
    <r>
      <rPr>
        <sz val="11"/>
        <color theme="0" tint="-0.34998626667073579"/>
        <rFont val="Calibri"/>
        <family val="2"/>
        <scheme val="minor"/>
      </rPr>
      <t>: CSO</t>
    </r>
  </si>
  <si>
    <r>
      <rPr>
        <b/>
        <sz val="11"/>
        <color theme="1"/>
        <rFont val="Calibri"/>
        <family val="2"/>
        <scheme val="minor"/>
      </rPr>
      <t>Monthly amount avg. per full-time staff member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</si>
  <si>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for each administrator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</si>
  <si>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for each teacher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</si>
  <si>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for each support staff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</si>
  <si>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for each student worker</t>
    </r>
    <r>
      <rPr>
        <sz val="11"/>
        <color theme="0" tint="-0.34998626667073579"/>
        <rFont val="Calibri"/>
        <family val="2"/>
        <scheme val="minor"/>
      </rPr>
      <t>: CSO</t>
    </r>
  </si>
  <si>
    <r>
      <t>Monthly average amount per employee</t>
    </r>
    <r>
      <rPr>
        <sz val="11"/>
        <color theme="0" tint="-0.34998626667073579"/>
        <rFont val="Calibri"/>
        <family val="2"/>
        <scheme val="minor"/>
      </rPr>
      <t>: CSO</t>
    </r>
  </si>
  <si>
    <r>
      <t>Annual amount per employee</t>
    </r>
    <r>
      <rPr>
        <sz val="11"/>
        <color theme="0" tint="-0.34998626667073579"/>
        <rFont val="Calibri"/>
        <family val="2"/>
        <scheme val="minor"/>
      </rPr>
      <t>: CSO</t>
    </r>
  </si>
  <si>
    <t>Other Services - Non-Instr. (pstg, web portal, etc.)</t>
  </si>
  <si>
    <t>Monthly amount grbg, pest, lndscp, HAVC, hndyman,…</t>
  </si>
  <si>
    <t>% of Y to Y CAMPUS GROWTH</t>
  </si>
  <si>
    <t>Amount per computer every four yrs 10% of students</t>
  </si>
  <si>
    <t>Annual amount per employee: CSO</t>
  </si>
  <si>
    <t>Monthly average amount per employee: CSO</t>
  </si>
  <si>
    <r>
      <t xml:space="preserve">Annual # of hrs. @ $50/hr - </t>
    </r>
    <r>
      <rPr>
        <b/>
        <sz val="11"/>
        <rFont val="Calibri"/>
        <family val="2"/>
        <scheme val="minor"/>
      </rPr>
      <t>school may bgt. more</t>
    </r>
    <r>
      <rPr>
        <sz val="11"/>
        <rFont val="Calibri"/>
        <family val="2"/>
        <scheme val="minor"/>
      </rPr>
      <t>: CSO</t>
    </r>
  </si>
  <si>
    <t>Amount per student eval. rate (half of sped. pop)</t>
  </si>
  <si>
    <r>
      <t xml:space="preserve">Annual amount - </t>
    </r>
    <r>
      <rPr>
        <b/>
        <sz val="11"/>
        <rFont val="Calibri"/>
        <family val="2"/>
        <scheme val="minor"/>
      </rPr>
      <t>school may budget more</t>
    </r>
    <r>
      <rPr>
        <sz val="11"/>
        <rFont val="Calibri"/>
        <family val="2"/>
        <scheme val="minor"/>
      </rPr>
      <t>: CSO</t>
    </r>
  </si>
  <si>
    <t>Annual amount for each teacher: CSO</t>
  </si>
  <si>
    <t>Annual amount for each administrator: CSO</t>
  </si>
  <si>
    <t>Annual amount for each support staff: CSO</t>
  </si>
  <si>
    <t>Annual amount for each student worker: CSO</t>
  </si>
  <si>
    <r>
      <t xml:space="preserve">Annual # of hrs. @ $100/hr - </t>
    </r>
    <r>
      <rPr>
        <b/>
        <sz val="11"/>
        <rFont val="Calibri"/>
        <family val="2"/>
        <scheme val="minor"/>
      </rPr>
      <t>school may bgt. more</t>
    </r>
    <r>
      <rPr>
        <sz val="11"/>
        <rFont val="Calibri"/>
        <family val="2"/>
        <scheme val="minor"/>
      </rPr>
      <t>: CSO</t>
    </r>
  </si>
  <si>
    <r>
      <t xml:space="preserve">Monthly amount and is now </t>
    </r>
    <r>
      <rPr>
        <b/>
        <sz val="11"/>
        <color theme="0" tint="-0.34998626667073579"/>
        <rFont val="Calibri"/>
        <family val="2"/>
        <scheme val="minor"/>
      </rPr>
      <t>Part of Buddy Up Program</t>
    </r>
    <r>
      <rPr>
        <sz val="11"/>
        <color theme="0" tint="-0.34998626667073579"/>
        <rFont val="Calibri"/>
        <family val="2"/>
        <scheme val="minor"/>
      </rPr>
      <t xml:space="preserve"> </t>
    </r>
  </si>
  <si>
    <r>
      <t xml:space="preserve">Monthly amount - </t>
    </r>
    <r>
      <rPr>
        <b/>
        <sz val="11"/>
        <rFont val="Calibri"/>
        <family val="2"/>
        <scheme val="minor"/>
      </rPr>
      <t>school may budget more</t>
    </r>
    <r>
      <rPr>
        <sz val="11"/>
        <rFont val="Calibri"/>
        <family val="2"/>
        <scheme val="minor"/>
      </rPr>
      <t>: CSO</t>
    </r>
  </si>
  <si>
    <r>
      <t xml:space="preserve">Annual amount mailers - </t>
    </r>
    <r>
      <rPr>
        <b/>
        <sz val="11"/>
        <rFont val="Calibri"/>
        <family val="2"/>
        <scheme val="minor"/>
      </rPr>
      <t>school may budget more</t>
    </r>
    <r>
      <rPr>
        <sz val="11"/>
        <rFont val="Calibri"/>
        <family val="2"/>
        <scheme val="minor"/>
      </rPr>
      <t>: CSO</t>
    </r>
  </si>
  <si>
    <r>
      <rPr>
        <b/>
        <sz val="11"/>
        <rFont val="Calibri"/>
        <family val="2"/>
        <scheme val="minor"/>
      </rPr>
      <t>Annual amount avg. per full-time staff member</t>
    </r>
    <r>
      <rPr>
        <sz val="11"/>
        <rFont val="Calibri"/>
        <family val="2"/>
        <scheme val="minor"/>
      </rPr>
      <t>: CSO</t>
    </r>
  </si>
  <si>
    <r>
      <rPr>
        <b/>
        <sz val="11"/>
        <rFont val="Calibri"/>
        <family val="2"/>
        <scheme val="minor"/>
      </rPr>
      <t>Monthly amount avg. per full-time staff member</t>
    </r>
    <r>
      <rPr>
        <sz val="11"/>
        <rFont val="Calibri"/>
        <family val="2"/>
        <scheme val="minor"/>
      </rPr>
      <t>: CSO</t>
    </r>
  </si>
  <si>
    <t>Amount per computer every four years # of FTE's</t>
  </si>
  <si>
    <r>
      <t>Amount per comp. every four yrs 10% + FTE:</t>
    </r>
    <r>
      <rPr>
        <sz val="11"/>
        <color theme="0" tint="-0.34998626667073579"/>
        <rFont val="Calibri"/>
        <family val="2"/>
        <scheme val="minor"/>
      </rPr>
      <t xml:space="preserve"> CSO</t>
    </r>
  </si>
  <si>
    <r>
      <t xml:space="preserve">Annual # of hrs. @ $100/hr - </t>
    </r>
    <r>
      <rPr>
        <b/>
        <sz val="11"/>
        <rFont val="Calibri"/>
        <family val="2"/>
        <scheme val="minor"/>
      </rPr>
      <t>school may bgt. more</t>
    </r>
    <r>
      <rPr>
        <sz val="11"/>
        <color theme="0" tint="-0.34998626667073579"/>
        <rFont val="Calibri"/>
        <family val="2"/>
        <scheme val="minor"/>
      </rPr>
      <t>: CSO</t>
    </r>
  </si>
  <si>
    <t>FY 2028-2029</t>
  </si>
  <si>
    <t>Study Island&amp; School Service_05 ACT PREP</t>
  </si>
  <si>
    <t>Annual number of hours at $400/day</t>
  </si>
  <si>
    <t>Annual number of days at $250/day</t>
  </si>
  <si>
    <t>Annual number of days at $40/hour</t>
  </si>
  <si>
    <t>Annual number of days at $125/class</t>
  </si>
  <si>
    <t>All Other Full Time</t>
  </si>
  <si>
    <t>Part Time</t>
  </si>
  <si>
    <t>Site #6</t>
  </si>
  <si>
    <t>Loan site #5</t>
  </si>
  <si>
    <t>Loan site #6</t>
  </si>
  <si>
    <t>Loan site #4</t>
  </si>
  <si>
    <t>Loans (for new or existing schools) loans begin on May 1st of preceeding year of school opening</t>
  </si>
  <si>
    <t>Interest Payment</t>
  </si>
  <si>
    <t>Principle Payment</t>
  </si>
  <si>
    <t>Loan amounts</t>
  </si>
  <si>
    <t>Site #6 (Northwest)</t>
  </si>
  <si>
    <t>Site #3 (Downtown)</t>
  </si>
  <si>
    <t>Title II Funding | Per Pupil Amount</t>
  </si>
  <si>
    <t>Special Education - IDEA Part B | Per Pupil Amount</t>
  </si>
  <si>
    <t>Site #4 (Southwest)</t>
  </si>
  <si>
    <t>Site #5 (Reno)</t>
  </si>
  <si>
    <t xml:space="preserve">Site #1 (Flagship | Henderson) </t>
  </si>
  <si>
    <t>Amount after network fee</t>
  </si>
  <si>
    <t>Title II</t>
  </si>
  <si>
    <t>Operations Director (PERS = ER)</t>
  </si>
  <si>
    <t>Marketing Director (PERS = EE)</t>
  </si>
  <si>
    <t>Executive Director (PERS = ER)</t>
  </si>
  <si>
    <t>Accountability Coordinator (PERS = EE)</t>
  </si>
  <si>
    <t>Business Coordinator (PERS = EE)</t>
  </si>
  <si>
    <t>Office Manager (PERS = EE)</t>
  </si>
  <si>
    <t>12 hrs/wk X $8.50/hr X 52 wks = $,6000</t>
  </si>
  <si>
    <t>Tuition for NSHE</t>
  </si>
  <si>
    <t>Per semester amount per student fall</t>
  </si>
  <si>
    <t>Per semester amount per student spring</t>
  </si>
  <si>
    <t>Distance Education Fees NSHE</t>
  </si>
  <si>
    <t>Lab Fees for NSHE</t>
  </si>
  <si>
    <t>Loan Account</t>
  </si>
  <si>
    <t>30 hrs/wk X $13.00/hr X 52 wks = $20,000</t>
  </si>
  <si>
    <t>Lease up in May 2021, multiple smaller spaces</t>
  </si>
  <si>
    <t>$2.50/sqft. after 2021 with 3% annual inc. CAMs included</t>
  </si>
  <si>
    <t>5 hrs/wk X $8.50/hr X 52 wks = $2,500</t>
  </si>
  <si>
    <t>$1.60/sqft. 3% annual includes all cleaning &amp; utilities</t>
  </si>
  <si>
    <t xml:space="preserve">Amount per test students take 1.5X's: NSHE Pays </t>
  </si>
  <si>
    <t xml:space="preserve">Amount per test = 75% testers/retesters: CSO </t>
  </si>
  <si>
    <t xml:space="preserve">Amount per test = 100% of students test: CSO </t>
  </si>
  <si>
    <t>Annual number of hours at $350/hr: CSO</t>
  </si>
  <si>
    <t>Professional Services Architect</t>
  </si>
  <si>
    <r>
      <t xml:space="preserve">Annual amount - </t>
    </r>
    <r>
      <rPr>
        <b/>
        <sz val="11"/>
        <rFont val="Calibri"/>
        <family val="2"/>
        <scheme val="minor"/>
      </rPr>
      <t>expansion years</t>
    </r>
    <r>
      <rPr>
        <sz val="11"/>
        <rFont val="Calibri"/>
        <family val="2"/>
        <scheme val="minor"/>
      </rPr>
      <t>: CSO</t>
    </r>
  </si>
  <si>
    <t>Percent of students who enroll through the year</t>
  </si>
  <si>
    <t>Increase compared to number at the beginning of year</t>
  </si>
  <si>
    <t>YES</t>
  </si>
  <si>
    <t>NO</t>
  </si>
  <si>
    <t>Title II ran by network?</t>
  </si>
  <si>
    <t>Revenue facilitated by network</t>
  </si>
  <si>
    <t>Special Ed. ran by network?</t>
  </si>
  <si>
    <t>Accountability Director (PERS = EE)</t>
  </si>
  <si>
    <r>
      <t xml:space="preserve">Annual amount - </t>
    </r>
    <r>
      <rPr>
        <b/>
        <sz val="11"/>
        <rFont val="Calibri"/>
        <family val="2"/>
        <scheme val="minor"/>
      </rPr>
      <t>sch. may bgt. more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$6K Y1</t>
    </r>
  </si>
  <si>
    <r>
      <t>Annual amount for each admin.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$20K Y1</t>
    </r>
  </si>
  <si>
    <r>
      <t xml:space="preserve">Annual # @ $100/hr - </t>
    </r>
    <r>
      <rPr>
        <b/>
        <sz val="11"/>
        <rFont val="Calibri"/>
        <family val="2"/>
        <scheme val="minor"/>
      </rPr>
      <t>sch. may bgt.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$4K Y1</t>
    </r>
  </si>
  <si>
    <r>
      <t xml:space="preserve">Amount/test = 75% testers/retesters: CSO &amp; </t>
    </r>
    <r>
      <rPr>
        <sz val="11"/>
        <color theme="9" tint="-0.249977111117893"/>
        <rFont val="Calibri"/>
        <family val="2"/>
        <scheme val="minor"/>
      </rPr>
      <t>CSP $4K Y1</t>
    </r>
    <r>
      <rPr>
        <sz val="11"/>
        <color theme="0" tint="-0.34998626667073579"/>
        <rFont val="Calibri"/>
        <family val="2"/>
        <scheme val="minor"/>
      </rPr>
      <t xml:space="preserve"> </t>
    </r>
  </si>
  <si>
    <r>
      <t xml:space="preserve">Monthly Amount </t>
    </r>
    <r>
      <rPr>
        <sz val="11"/>
        <color theme="9" tint="-0.249977111117893"/>
        <rFont val="Calibri"/>
        <family val="2"/>
        <scheme val="minor"/>
      </rPr>
      <t>CSP 1K Y1</t>
    </r>
  </si>
  <si>
    <r>
      <t xml:space="preserve">Annual mailers - </t>
    </r>
    <r>
      <rPr>
        <b/>
        <sz val="11"/>
        <rFont val="Calibri"/>
        <family val="2"/>
        <scheme val="minor"/>
      </rPr>
      <t>sch may bdgt more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$32K</t>
    </r>
  </si>
  <si>
    <r>
      <t xml:space="preserve">Annual amount per student &amp; </t>
    </r>
    <r>
      <rPr>
        <sz val="11"/>
        <color theme="9" tint="-0.249977111117893"/>
        <rFont val="Calibri"/>
        <family val="2"/>
        <scheme val="minor"/>
      </rPr>
      <t>CSP $20K Y1</t>
    </r>
  </si>
  <si>
    <r>
      <t xml:space="preserve">Amount of one server every five years &amp; </t>
    </r>
    <r>
      <rPr>
        <sz val="11"/>
        <color theme="9" tint="-0.249977111117893"/>
        <rFont val="Calibri"/>
        <family val="2"/>
        <scheme val="minor"/>
      </rPr>
      <t>CSP $5K Y1</t>
    </r>
  </si>
  <si>
    <r>
      <t xml:space="preserve">Annual amt - </t>
    </r>
    <r>
      <rPr>
        <b/>
        <sz val="11"/>
        <rFont val="Calibri"/>
        <family val="2"/>
        <scheme val="minor"/>
      </rPr>
      <t>sch may bdgt more</t>
    </r>
    <r>
      <rPr>
        <sz val="11"/>
        <color theme="0" tint="-0.34998626667073579"/>
        <rFont val="Calibri"/>
        <family val="2"/>
        <scheme val="minor"/>
      </rPr>
      <t xml:space="preserve">: CSO + </t>
    </r>
    <r>
      <rPr>
        <sz val="11"/>
        <color theme="9" tint="-0.249977111117893"/>
        <rFont val="Calibri"/>
        <family val="2"/>
        <scheme val="minor"/>
      </rPr>
      <t>CSP $3K Y1</t>
    </r>
  </si>
  <si>
    <r>
      <t>Monthly average per FTE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$55K Y1</t>
    </r>
  </si>
  <si>
    <r>
      <t xml:space="preserve">Amount of one machine every six years </t>
    </r>
    <r>
      <rPr>
        <sz val="11"/>
        <color theme="9" tint="-0.249977111117893"/>
        <rFont val="Calibri"/>
        <family val="2"/>
        <scheme val="minor"/>
      </rPr>
      <t>CSP $12K Y1</t>
    </r>
  </si>
  <si>
    <r>
      <t xml:space="preserve">Annual amount - </t>
    </r>
    <r>
      <rPr>
        <b/>
        <sz val="11"/>
        <rFont val="Calibri"/>
        <family val="2"/>
        <scheme val="minor"/>
      </rPr>
      <t>sch may bdgt more</t>
    </r>
    <r>
      <rPr>
        <sz val="11"/>
        <color theme="0" tint="-0.34998626667073579"/>
        <rFont val="Calibri"/>
        <family val="2"/>
        <scheme val="minor"/>
      </rPr>
      <t>: CSO &amp;</t>
    </r>
    <r>
      <rPr>
        <sz val="11"/>
        <color theme="9" tint="-0.249977111117893"/>
        <rFont val="Calibri"/>
        <family val="2"/>
        <scheme val="minor"/>
      </rPr>
      <t xml:space="preserve"> CSP $9K Y1</t>
    </r>
  </si>
  <si>
    <r>
      <t xml:space="preserve">Amount/comp. evry 4 yrs 10% of students &amp; </t>
    </r>
    <r>
      <rPr>
        <sz val="11"/>
        <color theme="9" tint="-0.249977111117893"/>
        <rFont val="Calibri"/>
        <family val="2"/>
        <scheme val="minor"/>
      </rPr>
      <t>CSP $28K Y1</t>
    </r>
  </si>
  <si>
    <r>
      <t xml:space="preserve">Annual amount rent &amp; CAMs  </t>
    </r>
    <r>
      <rPr>
        <sz val="11"/>
        <color theme="9" tint="-0.249977111117893"/>
        <rFont val="Calibri"/>
        <family val="2"/>
        <scheme val="minor"/>
      </rPr>
      <t>CSP $17K Y1</t>
    </r>
  </si>
  <si>
    <r>
      <t xml:space="preserve">Annual amount - </t>
    </r>
    <r>
      <rPr>
        <b/>
        <sz val="11"/>
        <rFont val="Calibri"/>
        <family val="2"/>
        <scheme val="minor"/>
      </rPr>
      <t>schl may bdgt more</t>
    </r>
    <r>
      <rPr>
        <sz val="11"/>
        <color theme="0" tint="-0.34998626667073579"/>
        <rFont val="Calibri"/>
        <family val="2"/>
        <scheme val="minor"/>
      </rPr>
      <t xml:space="preserve">: CSO &amp; </t>
    </r>
    <r>
      <rPr>
        <sz val="11"/>
        <color theme="9" tint="-0.249977111117893"/>
        <rFont val="Calibri"/>
        <family val="2"/>
        <scheme val="minor"/>
      </rPr>
      <t>CSP $9K</t>
    </r>
  </si>
  <si>
    <r>
      <t xml:space="preserve">Monthly Amount </t>
    </r>
    <r>
      <rPr>
        <sz val="11"/>
        <color theme="9" tint="-0.249977111117893"/>
        <rFont val="Calibri"/>
        <family val="2"/>
        <scheme val="minor"/>
      </rPr>
      <t>CSP $1K Y1</t>
    </r>
  </si>
  <si>
    <t>Fall semester amount/student (25% TMCC Discount)</t>
  </si>
  <si>
    <t>Spring semester amount/stu. (25% TMCC Discount)</t>
  </si>
  <si>
    <t>Amount/student evalulation rate (half of sped. pop)</t>
  </si>
  <si>
    <t>12 hrs/wk X $8.50/hr X 52 wks = $6,000</t>
  </si>
  <si>
    <r>
      <t xml:space="preserve">Annual mailers - </t>
    </r>
    <r>
      <rPr>
        <b/>
        <sz val="11"/>
        <rFont val="Calibri"/>
        <family val="2"/>
        <scheme val="minor"/>
      </rPr>
      <t>sch may bdgt more</t>
    </r>
    <r>
      <rPr>
        <sz val="11"/>
        <color theme="0" tint="-0.34998626667073579"/>
        <rFont val="Calibri"/>
        <family val="2"/>
        <scheme val="minor"/>
      </rPr>
      <t>: CSO</t>
    </r>
  </si>
  <si>
    <t>Monthly Amount</t>
  </si>
  <si>
    <r>
      <t xml:space="preserve">Annual mailers - </t>
    </r>
    <r>
      <rPr>
        <b/>
        <sz val="11"/>
        <rFont val="Calibri"/>
        <family val="2"/>
        <scheme val="minor"/>
      </rPr>
      <t>sch may bdgt more</t>
    </r>
    <r>
      <rPr>
        <sz val="11"/>
        <color theme="0" tint="-0.34998626667073579"/>
        <rFont val="Calibri"/>
        <family val="2"/>
        <scheme val="minor"/>
      </rPr>
      <t xml:space="preserve">: CSO </t>
    </r>
  </si>
  <si>
    <t>$0.61/sqft. 3% annual inc. with $0.34 CAMs</t>
  </si>
  <si>
    <t>Annual # of hrs inc. 50% every 3yrs. at $350/hr: CSO</t>
  </si>
  <si>
    <t>Site #1: Henderson - expansion</t>
  </si>
  <si>
    <t>Site #2: Summerlin - expansion</t>
  </si>
  <si>
    <t>Site #3: Downtown - expansion</t>
  </si>
  <si>
    <t>Site #4: (proposed Southwest) - expansion</t>
  </si>
  <si>
    <t>Site #6: (proposed Northwest) - expansion</t>
  </si>
  <si>
    <t>Site #5: Meadowwood, Reno - replication</t>
  </si>
  <si>
    <t>Estimate at $1.50/sq. ft. + $0.50 CAMs 3% annual inc.</t>
  </si>
  <si>
    <t>Fall semester amount/student</t>
  </si>
  <si>
    <t>Spring semester amount/student</t>
  </si>
  <si>
    <t>Estimate at $3.50/sq. ft. 3% annual inc. with CAMs</t>
  </si>
  <si>
    <t>10 hrs/wk X $8.50/hr X 52 wks = $4,500</t>
  </si>
  <si>
    <t>Shared (EE/ER) contribution to PERS factor code: CSO</t>
  </si>
  <si>
    <t>Employer (ER) contribution "reduction" to PERS: CSO</t>
  </si>
  <si>
    <t>Annual number of 2wk/transition: CSO</t>
  </si>
  <si>
    <t>Annual amount for other facilities UNLV (testing): CSO</t>
  </si>
  <si>
    <t>Annual amount - NDE True Up August each year</t>
  </si>
  <si>
    <t>Professional Services Support Fees</t>
  </si>
  <si>
    <t>Network Support Fee - expansion schools</t>
  </si>
  <si>
    <t>Network Support Fee - replication schools</t>
  </si>
  <si>
    <t>Support Fee</t>
  </si>
  <si>
    <t>20 hrs/wk X $8.50/hr X 52 wks = $8,840</t>
  </si>
  <si>
    <t>5 hrs/wk X $8.50/hr X 52 wks = $2,210</t>
  </si>
  <si>
    <t># of licensed teachers</t>
  </si>
  <si>
    <r>
      <t xml:space="preserve">Annual amount for Title II - </t>
    </r>
    <r>
      <rPr>
        <b/>
        <sz val="11"/>
        <rFont val="Calibri"/>
        <family val="2"/>
        <scheme val="minor"/>
      </rPr>
      <t>school may bgt. more</t>
    </r>
    <r>
      <rPr>
        <sz val="11"/>
        <rFont val="Calibri"/>
        <family val="2"/>
        <scheme val="minor"/>
      </rPr>
      <t>: CSO</t>
    </r>
  </si>
  <si>
    <t>Other Testing</t>
  </si>
  <si>
    <t>MS Office and Adobe &amp; School Service_10</t>
  </si>
  <si>
    <t>Other Technology Services_11</t>
  </si>
  <si>
    <t>MS Office and Adobe Suites</t>
  </si>
  <si>
    <t>Other Technology Portals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</si>
</sst>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0.0"/>
    <numFmt numFmtId="169" formatCode="_(* #,##0.0_);_(* \(#,##0.0\);_(* &quot;-&quot;?_);_(@_)"/>
    <numFmt numFmtId="170" formatCode="m/d/yy;@"/>
    <numFmt numFmtId="171" formatCode="&quot;$&quot;#,##0"/>
    <numFmt numFmtId="172" formatCode="_(* #,##0.000_);_(* \(#,##0.000\);_(* &quot;-&quot;??_);_(@_)"/>
    <numFmt numFmtId="173" formatCode="0.00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Arial"/>
      <family val="2"/>
    </font>
    <font>
      <b/>
      <sz val="10"/>
      <name val="Calibri"/>
      <family val="1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4"/>
      <name val="Arial"/>
      <family val="2"/>
    </font>
    <font>
      <b/>
      <sz val="11"/>
      <color indexed="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504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164" fontId="0" fillId="0" borderId="0" xfId="1" applyNumberFormat="1" applyFont="1" applyFill="1"/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64" fontId="0" fillId="0" borderId="0" xfId="0" applyNumberFormat="1" applyFill="1"/>
    <xf numFmtId="164" fontId="0" fillId="0" borderId="1" xfId="0" applyNumberFormat="1" applyFill="1" applyBorder="1"/>
    <xf numFmtId="2" fontId="0" fillId="0" borderId="0" xfId="0" applyNumberFormat="1" applyFill="1"/>
    <xf numFmtId="0" fontId="3" fillId="0" borderId="0" xfId="2" applyFill="1" applyBorder="1"/>
    <xf numFmtId="0" fontId="3" fillId="0" borderId="0" xfId="2" applyNumberFormat="1" applyFont="1" applyFill="1" applyBorder="1" applyAlignment="1">
      <alignment wrapText="1"/>
    </xf>
    <xf numFmtId="0" fontId="3" fillId="0" borderId="0" xfId="2" applyFont="1" applyFill="1" applyBorder="1" applyAlignment="1">
      <alignment horizontal="center"/>
    </xf>
    <xf numFmtId="0" fontId="2" fillId="0" borderId="0" xfId="0" applyFont="1" applyFill="1"/>
    <xf numFmtId="165" fontId="0" fillId="0" borderId="0" xfId="0" applyNumberFormat="1" applyFill="1"/>
    <xf numFmtId="0" fontId="0" fillId="0" borderId="0" xfId="0" applyFill="1" applyAlignment="1">
      <alignment horizontal="left" vertical="top" wrapText="1"/>
    </xf>
    <xf numFmtId="43" fontId="0" fillId="0" borderId="0" xfId="1" applyFont="1"/>
    <xf numFmtId="43" fontId="0" fillId="0" borderId="0" xfId="1" applyFont="1" applyFill="1"/>
    <xf numFmtId="43" fontId="2" fillId="0" borderId="1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165" fontId="0" fillId="0" borderId="0" xfId="1" applyNumberFormat="1" applyFont="1"/>
    <xf numFmtId="165" fontId="3" fillId="0" borderId="0" xfId="1" applyNumberFormat="1" applyFont="1" applyFill="1" applyBorder="1" applyAlignment="1">
      <alignment horizontal="left" vertical="center"/>
    </xf>
    <xf numFmtId="0" fontId="9" fillId="0" borderId="0" xfId="0" applyFont="1"/>
    <xf numFmtId="166" fontId="10" fillId="0" borderId="0" xfId="5" applyNumberFormat="1" applyFont="1"/>
    <xf numFmtId="166" fontId="0" fillId="0" borderId="0" xfId="0" applyNumberFormat="1"/>
    <xf numFmtId="166" fontId="0" fillId="0" borderId="0" xfId="1" applyNumberFormat="1" applyFont="1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Fill="1" applyBorder="1"/>
    <xf numFmtId="0" fontId="13" fillId="0" borderId="0" xfId="0" applyFont="1" applyFill="1" applyAlignment="1">
      <alignment horizontal="left" vertical="top" wrapText="1"/>
    </xf>
    <xf numFmtId="10" fontId="10" fillId="0" borderId="0" xfId="5" applyNumberFormat="1" applyFont="1" applyFill="1" applyAlignment="1">
      <alignment horizontal="left" vertical="top" wrapText="1"/>
    </xf>
    <xf numFmtId="167" fontId="10" fillId="0" borderId="0" xfId="4" applyNumberFormat="1" applyFont="1" applyFill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13" fillId="0" borderId="0" xfId="0" applyFont="1"/>
    <xf numFmtId="6" fontId="0" fillId="0" borderId="0" xfId="0" applyNumberFormat="1"/>
    <xf numFmtId="9" fontId="0" fillId="0" borderId="0" xfId="5" applyFont="1"/>
    <xf numFmtId="164" fontId="14" fillId="0" borderId="0" xfId="1" applyNumberFormat="1" applyFont="1" applyFill="1" applyBorder="1" applyAlignment="1">
      <alignment horizontal="left" vertical="center"/>
    </xf>
    <xf numFmtId="164" fontId="0" fillId="0" borderId="0" xfId="0" applyNumberFormat="1"/>
    <xf numFmtId="164" fontId="0" fillId="0" borderId="1" xfId="0" applyNumberFormat="1" applyBorder="1"/>
    <xf numFmtId="6" fontId="13" fillId="0" borderId="0" xfId="0" applyNumberFormat="1" applyFont="1"/>
    <xf numFmtId="164" fontId="13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0" fillId="0" borderId="0" xfId="1" applyNumberFormat="1" applyFont="1" applyBorder="1"/>
    <xf numFmtId="164" fontId="10" fillId="0" borderId="0" xfId="1" applyNumberFormat="1" applyFont="1"/>
    <xf numFmtId="9" fontId="13" fillId="0" borderId="0" xfId="5" applyFont="1"/>
    <xf numFmtId="0" fontId="0" fillId="0" borderId="0" xfId="0" applyFill="1" applyAlignment="1">
      <alignment horizontal="right" vertical="top" wrapText="1"/>
    </xf>
    <xf numFmtId="0" fontId="8" fillId="0" borderId="1" xfId="0" applyFont="1" applyBorder="1"/>
    <xf numFmtId="9" fontId="0" fillId="0" borderId="0" xfId="0" applyNumberFormat="1"/>
    <xf numFmtId="9" fontId="10" fillId="0" borderId="0" xfId="0" applyNumberFormat="1" applyFont="1"/>
    <xf numFmtId="164" fontId="13" fillId="0" borderId="0" xfId="0" applyNumberFormat="1" applyFont="1"/>
    <xf numFmtId="164" fontId="8" fillId="0" borderId="0" xfId="0" applyNumberFormat="1" applyFont="1"/>
    <xf numFmtId="165" fontId="0" fillId="0" borderId="0" xfId="0" applyNumberFormat="1"/>
    <xf numFmtId="164" fontId="0" fillId="0" borderId="2" xfId="0" applyNumberFormat="1" applyBorder="1"/>
    <xf numFmtId="0" fontId="2" fillId="0" borderId="1" xfId="0" applyFont="1" applyBorder="1"/>
    <xf numFmtId="0" fontId="2" fillId="0" borderId="0" xfId="0" applyFont="1" applyBorder="1"/>
    <xf numFmtId="165" fontId="0" fillId="0" borderId="1" xfId="1" applyNumberFormat="1" applyFont="1" applyBorder="1"/>
    <xf numFmtId="167" fontId="13" fillId="0" borderId="0" xfId="4" applyNumberFormat="1" applyFont="1"/>
    <xf numFmtId="0" fontId="0" fillId="0" borderId="0" xfId="0" applyFont="1" applyFill="1" applyAlignment="1">
      <alignment horizontal="left" vertical="top" wrapText="1"/>
    </xf>
    <xf numFmtId="164" fontId="0" fillId="0" borderId="0" xfId="0" applyNumberFormat="1" applyBorder="1"/>
    <xf numFmtId="164" fontId="1" fillId="0" borderId="0" xfId="1" applyNumberFormat="1" applyFont="1"/>
    <xf numFmtId="164" fontId="0" fillId="4" borderId="0" xfId="1" applyNumberFormat="1" applyFont="1" applyFill="1"/>
    <xf numFmtId="165" fontId="17" fillId="0" borderId="0" xfId="1" applyNumberFormat="1" applyFont="1" applyFill="1"/>
    <xf numFmtId="0" fontId="15" fillId="0" borderId="0" xfId="0" applyFont="1"/>
    <xf numFmtId="166" fontId="0" fillId="0" borderId="0" xfId="0" applyNumberFormat="1" applyFont="1"/>
    <xf numFmtId="166" fontId="1" fillId="0" borderId="0" xfId="1" applyNumberFormat="1" applyFont="1"/>
    <xf numFmtId="164" fontId="17" fillId="0" borderId="0" xfId="1" applyNumberFormat="1" applyFont="1" applyFill="1"/>
    <xf numFmtId="0" fontId="17" fillId="0" borderId="0" xfId="0" applyFont="1"/>
    <xf numFmtId="164" fontId="7" fillId="0" borderId="0" xfId="1" applyNumberFormat="1" applyFont="1"/>
    <xf numFmtId="167" fontId="7" fillId="0" borderId="0" xfId="4" applyNumberFormat="1" applyFont="1" applyFill="1" applyAlignment="1">
      <alignment horizontal="left" vertical="top"/>
    </xf>
    <xf numFmtId="43" fontId="7" fillId="0" borderId="0" xfId="1" applyFont="1"/>
    <xf numFmtId="166" fontId="8" fillId="0" borderId="0" xfId="5" applyNumberFormat="1" applyFont="1"/>
    <xf numFmtId="9" fontId="17" fillId="0" borderId="0" xfId="5" applyFont="1"/>
    <xf numFmtId="164" fontId="18" fillId="0" borderId="0" xfId="1" applyNumberFormat="1" applyFont="1" applyFill="1" applyBorder="1" applyAlignment="1">
      <alignment horizontal="left" vertical="center"/>
    </xf>
    <xf numFmtId="164" fontId="17" fillId="0" borderId="0" xfId="1" applyNumberFormat="1" applyFont="1"/>
    <xf numFmtId="0" fontId="17" fillId="0" borderId="1" xfId="0" applyFont="1" applyBorder="1"/>
    <xf numFmtId="166" fontId="17" fillId="0" borderId="0" xfId="5" applyNumberFormat="1" applyFont="1"/>
    <xf numFmtId="9" fontId="17" fillId="0" borderId="0" xfId="0" applyNumberFormat="1" applyFont="1"/>
    <xf numFmtId="9" fontId="0" fillId="0" borderId="0" xfId="0" applyNumberFormat="1" applyFont="1"/>
    <xf numFmtId="10" fontId="7" fillId="0" borderId="0" xfId="5" applyNumberFormat="1" applyFont="1" applyFill="1" applyAlignment="1">
      <alignment horizontal="left" vertical="top" wrapText="1"/>
    </xf>
    <xf numFmtId="167" fontId="7" fillId="0" borderId="0" xfId="4" applyNumberFormat="1" applyFont="1" applyFill="1"/>
    <xf numFmtId="0" fontId="7" fillId="0" borderId="0" xfId="0" applyFont="1"/>
    <xf numFmtId="167" fontId="7" fillId="0" borderId="0" xfId="4" applyNumberFormat="1" applyFont="1"/>
    <xf numFmtId="9" fontId="7" fillId="0" borderId="0" xfId="5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3" xfId="0" applyNumberFormat="1" applyBorder="1"/>
    <xf numFmtId="38" fontId="0" fillId="0" borderId="0" xfId="1" applyNumberFormat="1" applyFont="1" applyFill="1" applyAlignment="1">
      <alignment horizontal="left" vertical="top" wrapText="1"/>
    </xf>
    <xf numFmtId="38" fontId="0" fillId="0" borderId="0" xfId="1" applyNumberFormat="1" applyFont="1"/>
    <xf numFmtId="38" fontId="0" fillId="0" borderId="2" xfId="1" applyNumberFormat="1" applyFont="1" applyBorder="1"/>
    <xf numFmtId="164" fontId="0" fillId="0" borderId="0" xfId="1" applyNumberFormat="1" applyFont="1" applyFill="1" applyBorder="1"/>
    <xf numFmtId="0" fontId="8" fillId="0" borderId="0" xfId="0" applyFont="1" applyFill="1" applyBorder="1" applyAlignment="1"/>
    <xf numFmtId="0" fontId="8" fillId="0" borderId="1" xfId="0" applyFont="1" applyFill="1" applyBorder="1" applyAlignment="1"/>
    <xf numFmtId="43" fontId="0" fillId="0" borderId="0" xfId="0" applyNumberFormat="1"/>
    <xf numFmtId="0" fontId="8" fillId="0" borderId="0" xfId="0" applyFont="1" applyBorder="1"/>
    <xf numFmtId="168" fontId="8" fillId="0" borderId="0" xfId="0" applyNumberFormat="1" applyFont="1"/>
    <xf numFmtId="0" fontId="0" fillId="0" borderId="0" xfId="0" applyFill="1" applyBorder="1"/>
    <xf numFmtId="0" fontId="6" fillId="0" borderId="0" xfId="0" applyFont="1" applyBorder="1"/>
    <xf numFmtId="164" fontId="8" fillId="0" borderId="0" xfId="1" applyNumberFormat="1" applyFont="1" applyBorder="1"/>
    <xf numFmtId="164" fontId="8" fillId="0" borderId="1" xfId="1" applyNumberFormat="1" applyFont="1" applyBorder="1"/>
    <xf numFmtId="0" fontId="6" fillId="0" borderId="0" xfId="0" applyFont="1"/>
    <xf numFmtId="165" fontId="13" fillId="0" borderId="0" xfId="1" applyNumberFormat="1" applyFont="1"/>
    <xf numFmtId="165" fontId="0" fillId="0" borderId="1" xfId="1" applyNumberFormat="1" applyFont="1" applyFill="1" applyBorder="1"/>
    <xf numFmtId="165" fontId="4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/>
    <xf numFmtId="164" fontId="9" fillId="0" borderId="0" xfId="1" applyNumberFormat="1" applyFont="1" applyFill="1"/>
    <xf numFmtId="164" fontId="1" fillId="0" borderId="0" xfId="1" applyNumberFormat="1" applyFont="1" applyFill="1"/>
    <xf numFmtId="0" fontId="9" fillId="0" borderId="0" xfId="0" applyFont="1" applyFill="1"/>
    <xf numFmtId="166" fontId="0" fillId="0" borderId="0" xfId="0" applyNumberFormat="1" applyFill="1"/>
    <xf numFmtId="166" fontId="0" fillId="0" borderId="0" xfId="1" applyNumberFormat="1" applyFont="1" applyFill="1"/>
    <xf numFmtId="0" fontId="0" fillId="0" borderId="0" xfId="0" applyFont="1" applyFill="1"/>
    <xf numFmtId="164" fontId="13" fillId="0" borderId="0" xfId="1" applyNumberFormat="1" applyFont="1" applyFill="1"/>
    <xf numFmtId="164" fontId="13" fillId="0" borderId="1" xfId="1" applyNumberFormat="1" applyFont="1" applyFill="1" applyBorder="1"/>
    <xf numFmtId="164" fontId="8" fillId="0" borderId="3" xfId="1" applyNumberFormat="1" applyFont="1" applyFill="1" applyBorder="1"/>
    <xf numFmtId="164" fontId="0" fillId="0" borderId="2" xfId="1" applyNumberFormat="1" applyFont="1" applyFill="1" applyBorder="1"/>
    <xf numFmtId="164" fontId="8" fillId="0" borderId="4" xfId="0" applyNumberFormat="1" applyFont="1" applyBorder="1"/>
    <xf numFmtId="0" fontId="8" fillId="0" borderId="0" xfId="0" applyFont="1" applyFill="1"/>
    <xf numFmtId="43" fontId="0" fillId="0" borderId="1" xfId="1" applyFont="1" applyBorder="1"/>
    <xf numFmtId="164" fontId="8" fillId="0" borderId="1" xfId="1" applyNumberFormat="1" applyFont="1" applyFill="1" applyBorder="1"/>
    <xf numFmtId="9" fontId="7" fillId="4" borderId="0" xfId="5" applyFont="1" applyFill="1"/>
    <xf numFmtId="0" fontId="19" fillId="0" borderId="0" xfId="0" applyFont="1"/>
    <xf numFmtId="44" fontId="0" fillId="0" borderId="2" xfId="0" applyNumberFormat="1" applyBorder="1"/>
    <xf numFmtId="44" fontId="0" fillId="0" borderId="2" xfId="4" applyFont="1" applyBorder="1"/>
    <xf numFmtId="164" fontId="8" fillId="0" borderId="5" xfId="1" applyNumberFormat="1" applyFont="1" applyFill="1" applyBorder="1"/>
    <xf numFmtId="164" fontId="8" fillId="0" borderId="0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9" fontId="8" fillId="0" borderId="0" xfId="0" applyNumberFormat="1" applyFont="1"/>
    <xf numFmtId="43" fontId="2" fillId="0" borderId="0" xfId="1" applyFont="1" applyBorder="1" applyAlignment="1">
      <alignment horizontal="center"/>
    </xf>
    <xf numFmtId="0" fontId="0" fillId="0" borderId="0" xfId="0" applyAlignment="1">
      <alignment wrapText="1"/>
    </xf>
    <xf numFmtId="167" fontId="7" fillId="4" borderId="0" xfId="4" applyNumberFormat="1" applyFont="1" applyFill="1"/>
    <xf numFmtId="10" fontId="0" fillId="0" borderId="0" xfId="0" applyNumberFormat="1"/>
    <xf numFmtId="164" fontId="17" fillId="0" borderId="0" xfId="1" applyNumberFormat="1" applyFont="1" applyFill="1" applyBorder="1"/>
    <xf numFmtId="164" fontId="0" fillId="8" borderId="0" xfId="0" applyNumberFormat="1" applyFill="1"/>
    <xf numFmtId="164" fontId="0" fillId="8" borderId="0" xfId="1" applyNumberFormat="1" applyFont="1" applyFill="1" applyBorder="1"/>
    <xf numFmtId="164" fontId="0" fillId="0" borderId="0" xfId="0" applyNumberFormat="1" applyFill="1" applyBorder="1"/>
    <xf numFmtId="43" fontId="0" fillId="0" borderId="0" xfId="0" applyNumberFormat="1" applyFill="1"/>
    <xf numFmtId="170" fontId="2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1" fillId="0" borderId="0" xfId="0" applyFont="1"/>
    <xf numFmtId="164" fontId="21" fillId="0" borderId="0" xfId="1" applyNumberFormat="1" applyFont="1"/>
    <xf numFmtId="38" fontId="0" fillId="0" borderId="0" xfId="0" applyNumberFormat="1"/>
    <xf numFmtId="164" fontId="8" fillId="0" borderId="0" xfId="0" applyNumberFormat="1" applyFont="1" applyFill="1"/>
    <xf numFmtId="0" fontId="17" fillId="0" borderId="0" xfId="0" applyFont="1" applyFill="1"/>
    <xf numFmtId="43" fontId="7" fillId="0" borderId="0" xfId="1" applyFont="1" applyFill="1"/>
    <xf numFmtId="164" fontId="7" fillId="0" borderId="0" xfId="1" applyNumberFormat="1" applyFont="1" applyFill="1"/>
    <xf numFmtId="0" fontId="0" fillId="0" borderId="0" xfId="0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horizontal="left" vertical="top"/>
    </xf>
    <xf numFmtId="167" fontId="7" fillId="0" borderId="0" xfId="4" applyNumberFormat="1" applyFont="1" applyFill="1" applyBorder="1"/>
    <xf numFmtId="38" fontId="0" fillId="0" borderId="0" xfId="0" applyNumberFormat="1" applyBorder="1"/>
    <xf numFmtId="38" fontId="0" fillId="0" borderId="0" xfId="0" applyNumberFormat="1" applyFill="1" applyAlignment="1">
      <alignment horizontal="left" vertical="top" wrapText="1"/>
    </xf>
    <xf numFmtId="38" fontId="13" fillId="0" borderId="0" xfId="0" applyNumberFormat="1" applyFont="1"/>
    <xf numFmtId="38" fontId="8" fillId="0" borderId="4" xfId="0" applyNumberFormat="1" applyFont="1" applyBorder="1"/>
    <xf numFmtId="166" fontId="0" fillId="0" borderId="0" xfId="5" applyNumberFormat="1" applyFont="1"/>
    <xf numFmtId="9" fontId="0" fillId="0" borderId="0" xfId="0" applyNumberFormat="1" applyFill="1"/>
    <xf numFmtId="164" fontId="0" fillId="0" borderId="3" xfId="1" applyNumberFormat="1" applyFont="1" applyFill="1" applyBorder="1"/>
    <xf numFmtId="168" fontId="17" fillId="0" borderId="0" xfId="0" applyNumberFormat="1" applyFont="1" applyFill="1"/>
    <xf numFmtId="9" fontId="0" fillId="0" borderId="1" xfId="5" applyFont="1" applyBorder="1"/>
    <xf numFmtId="9" fontId="22" fillId="0" borderId="0" xfId="5" applyFont="1" applyFill="1" applyAlignment="1">
      <alignment horizontal="left" vertical="top" wrapText="1"/>
    </xf>
    <xf numFmtId="164" fontId="17" fillId="0" borderId="1" xfId="1" applyNumberFormat="1" applyFont="1" applyFill="1" applyBorder="1"/>
    <xf numFmtId="9" fontId="7" fillId="0" borderId="0" xfId="5" applyFont="1" applyFill="1"/>
    <xf numFmtId="0" fontId="0" fillId="0" borderId="0" xfId="0" applyFill="1" applyAlignment="1">
      <alignment wrapText="1"/>
    </xf>
    <xf numFmtId="164" fontId="10" fillId="0" borderId="0" xfId="1" applyNumberFormat="1" applyFont="1" applyFill="1"/>
    <xf numFmtId="0" fontId="0" fillId="0" borderId="1" xfId="0" applyFill="1" applyBorder="1"/>
    <xf numFmtId="164" fontId="0" fillId="0" borderId="3" xfId="0" applyNumberFormat="1" applyFill="1" applyBorder="1"/>
    <xf numFmtId="164" fontId="0" fillId="0" borderId="2" xfId="0" applyNumberFormat="1" applyFill="1" applyBorder="1"/>
    <xf numFmtId="168" fontId="17" fillId="0" borderId="0" xfId="0" applyNumberFormat="1" applyFont="1" applyFill="1" applyBorder="1"/>
    <xf numFmtId="168" fontId="17" fillId="0" borderId="1" xfId="0" applyNumberFormat="1" applyFont="1" applyFill="1" applyBorder="1"/>
    <xf numFmtId="0" fontId="8" fillId="0" borderId="0" xfId="0" applyFont="1" applyBorder="1" applyAlignment="1"/>
    <xf numFmtId="0" fontId="8" fillId="0" borderId="1" xfId="0" applyFont="1" applyBorder="1" applyAlignment="1"/>
    <xf numFmtId="167" fontId="10" fillId="0" borderId="0" xfId="4" applyNumberFormat="1" applyFont="1"/>
    <xf numFmtId="167" fontId="0" fillId="0" borderId="0" xfId="4" applyNumberFormat="1" applyFont="1"/>
    <xf numFmtId="165" fontId="1" fillId="0" borderId="1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0" fontId="23" fillId="0" borderId="0" xfId="0" applyFont="1" applyFill="1"/>
    <xf numFmtId="10" fontId="8" fillId="0" borderId="0" xfId="5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44" fontId="7" fillId="0" borderId="0" xfId="4" applyNumberFormat="1" applyFont="1" applyFill="1" applyAlignment="1">
      <alignment horizontal="left" vertical="top"/>
    </xf>
    <xf numFmtId="0" fontId="8" fillId="0" borderId="1" xfId="0" applyFont="1" applyFill="1" applyBorder="1"/>
    <xf numFmtId="0" fontId="8" fillId="0" borderId="0" xfId="0" applyFont="1" applyFill="1" applyAlignment="1">
      <alignment horizontal="left" vertical="top" wrapText="1"/>
    </xf>
    <xf numFmtId="44" fontId="7" fillId="0" borderId="0" xfId="4" applyNumberFormat="1" applyFont="1" applyFill="1"/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4" fillId="0" borderId="0" xfId="0" applyFont="1" applyFill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0" fontId="24" fillId="0" borderId="0" xfId="0" applyFont="1" applyFill="1" applyAlignment="1">
      <alignment horizontal="left" vertical="top" wrapText="1"/>
    </xf>
    <xf numFmtId="10" fontId="0" fillId="0" borderId="0" xfId="5" applyNumberFormat="1" applyFont="1"/>
    <xf numFmtId="164" fontId="0" fillId="0" borderId="4" xfId="1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applyNumberFormat="1" applyBorder="1"/>
    <xf numFmtId="10" fontId="17" fillId="0" borderId="0" xfId="5" applyNumberFormat="1" applyFont="1"/>
    <xf numFmtId="10" fontId="8" fillId="0" borderId="0" xfId="5" applyNumberFormat="1" applyFont="1"/>
    <xf numFmtId="164" fontId="25" fillId="0" borderId="0" xfId="1" applyNumberFormat="1" applyFont="1" applyFill="1" applyBorder="1" applyAlignment="1">
      <alignment horizontal="left" vertical="center"/>
    </xf>
    <xf numFmtId="0" fontId="7" fillId="0" borderId="0" xfId="0" applyFont="1" applyFill="1"/>
    <xf numFmtId="0" fontId="26" fillId="0" borderId="0" xfId="0" applyFont="1" applyFill="1"/>
    <xf numFmtId="0" fontId="8" fillId="0" borderId="0" xfId="0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left" vertical="center"/>
    </xf>
    <xf numFmtId="43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/>
    </xf>
    <xf numFmtId="164" fontId="1" fillId="0" borderId="0" xfId="1" applyNumberFormat="1" applyFont="1" applyFill="1" applyAlignment="1">
      <alignment horizontal="right"/>
    </xf>
    <xf numFmtId="0" fontId="6" fillId="6" borderId="0" xfId="0" applyFont="1" applyFill="1"/>
    <xf numFmtId="0" fontId="6" fillId="7" borderId="0" xfId="0" applyFont="1" applyFill="1"/>
    <xf numFmtId="0" fontId="6" fillId="5" borderId="0" xfId="0" applyFont="1" applyFill="1"/>
    <xf numFmtId="0" fontId="6" fillId="3" borderId="0" xfId="0" applyFont="1" applyFill="1"/>
    <xf numFmtId="0" fontId="6" fillId="9" borderId="0" xfId="0" applyFont="1" applyFill="1"/>
    <xf numFmtId="38" fontId="27" fillId="0" borderId="0" xfId="0" applyNumberFormat="1" applyFont="1"/>
    <xf numFmtId="38" fontId="27" fillId="0" borderId="0" xfId="0" applyNumberFormat="1" applyFont="1" applyFill="1"/>
    <xf numFmtId="38" fontId="27" fillId="0" borderId="0" xfId="1" applyNumberFormat="1" applyFont="1"/>
    <xf numFmtId="38" fontId="27" fillId="0" borderId="0" xfId="1" applyNumberFormat="1" applyFont="1" applyFill="1"/>
    <xf numFmtId="0" fontId="27" fillId="0" borderId="0" xfId="0" applyFont="1"/>
    <xf numFmtId="164" fontId="27" fillId="0" borderId="0" xfId="1" applyNumberFormat="1" applyFont="1"/>
    <xf numFmtId="166" fontId="27" fillId="0" borderId="0" xfId="5" applyNumberFormat="1" applyFont="1" applyFill="1"/>
    <xf numFmtId="166" fontId="27" fillId="0" borderId="0" xfId="5" applyNumberFormat="1" applyFont="1"/>
    <xf numFmtId="165" fontId="27" fillId="0" borderId="0" xfId="1" applyNumberFormat="1" applyFont="1"/>
    <xf numFmtId="166" fontId="29" fillId="0" borderId="0" xfId="0" applyNumberFormat="1" applyFont="1"/>
    <xf numFmtId="164" fontId="27" fillId="0" borderId="0" xfId="1" applyNumberFormat="1" applyFont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44" fontId="29" fillId="0" borderId="0" xfId="0" applyNumberFormat="1" applyFont="1"/>
    <xf numFmtId="38" fontId="31" fillId="0" borderId="0" xfId="1" applyNumberFormat="1" applyFont="1" applyFill="1"/>
    <xf numFmtId="166" fontId="31" fillId="0" borderId="0" xfId="5" applyNumberFormat="1" applyFont="1" applyFill="1"/>
    <xf numFmtId="164" fontId="31" fillId="0" borderId="0" xfId="1" applyNumberFormat="1" applyFont="1"/>
    <xf numFmtId="168" fontId="31" fillId="0" borderId="0" xfId="0" applyNumberFormat="1" applyFont="1"/>
    <xf numFmtId="164" fontId="32" fillId="0" borderId="0" xfId="1" applyNumberFormat="1" applyFont="1"/>
    <xf numFmtId="0" fontId="6" fillId="4" borderId="0" xfId="0" applyFont="1" applyFill="1"/>
    <xf numFmtId="0" fontId="33" fillId="2" borderId="0" xfId="0" applyFont="1" applyFill="1"/>
    <xf numFmtId="0" fontId="33" fillId="2" borderId="1" xfId="0" applyFont="1" applyFill="1" applyBorder="1"/>
    <xf numFmtId="0" fontId="21" fillId="0" borderId="0" xfId="0" applyFont="1" applyAlignment="1">
      <alignment horizontal="right"/>
    </xf>
    <xf numFmtId="0" fontId="31" fillId="0" borderId="0" xfId="0" applyFont="1"/>
    <xf numFmtId="0" fontId="34" fillId="0" borderId="0" xfId="0" applyFont="1"/>
    <xf numFmtId="164" fontId="34" fillId="0" borderId="0" xfId="1" applyNumberFormat="1" applyFont="1" applyBorder="1" applyAlignment="1">
      <alignment horizontal="center"/>
    </xf>
    <xf numFmtId="170" fontId="35" fillId="0" borderId="0" xfId="0" applyNumberFormat="1" applyFont="1" applyBorder="1" applyAlignment="1">
      <alignment horizontal="center"/>
    </xf>
    <xf numFmtId="171" fontId="7" fillId="0" borderId="0" xfId="4" applyNumberFormat="1" applyFont="1" applyFill="1" applyAlignment="1">
      <alignment horizontal="right" vertical="top"/>
    </xf>
    <xf numFmtId="10" fontId="29" fillId="0" borderId="0" xfId="0" applyNumberFormat="1" applyFont="1"/>
    <xf numFmtId="0" fontId="28" fillId="0" borderId="0" xfId="0" applyFont="1"/>
    <xf numFmtId="164" fontId="28" fillId="0" borderId="0" xfId="1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/>
    <xf numFmtId="164" fontId="2" fillId="0" borderId="1" xfId="1" applyNumberFormat="1" applyFont="1" applyFill="1" applyBorder="1"/>
    <xf numFmtId="164" fontId="36" fillId="0" borderId="0" xfId="1" applyNumberFormat="1" applyFont="1" applyFill="1"/>
    <xf numFmtId="0" fontId="36" fillId="0" borderId="0" xfId="0" applyFont="1" applyFill="1" applyAlignment="1">
      <alignment horizontal="left"/>
    </xf>
    <xf numFmtId="0" fontId="36" fillId="0" borderId="0" xfId="0" applyFont="1" applyFill="1"/>
    <xf numFmtId="164" fontId="36" fillId="0" borderId="1" xfId="0" applyNumberFormat="1" applyFont="1" applyFill="1" applyBorder="1"/>
    <xf numFmtId="164" fontId="36" fillId="0" borderId="1" xfId="1" applyNumberFormat="1" applyFont="1" applyBorder="1"/>
    <xf numFmtId="0" fontId="36" fillId="0" borderId="0" xfId="0" applyFont="1"/>
    <xf numFmtId="164" fontId="36" fillId="0" borderId="1" xfId="1" applyNumberFormat="1" applyFont="1" applyFill="1" applyBorder="1"/>
    <xf numFmtId="164" fontId="2" fillId="0" borderId="0" xfId="1" applyNumberFormat="1" applyFont="1"/>
    <xf numFmtId="0" fontId="36" fillId="0" borderId="0" xfId="0" applyFont="1" applyAlignment="1">
      <alignment horizontal="left"/>
    </xf>
    <xf numFmtId="164" fontId="36" fillId="0" borderId="0" xfId="1" applyNumberFormat="1" applyFont="1"/>
    <xf numFmtId="0" fontId="2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164" fontId="2" fillId="0" borderId="3" xfId="0" applyNumberFormat="1" applyFont="1" applyFill="1" applyBorder="1"/>
    <xf numFmtId="0" fontId="36" fillId="0" borderId="3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/>
    </xf>
    <xf numFmtId="164" fontId="36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164" fontId="2" fillId="0" borderId="3" xfId="1" applyNumberFormat="1" applyFont="1" applyFill="1" applyBorder="1"/>
    <xf numFmtId="164" fontId="36" fillId="0" borderId="3" xfId="1" applyNumberFormat="1" applyFont="1" applyBorder="1"/>
    <xf numFmtId="164" fontId="36" fillId="0" borderId="3" xfId="1" applyNumberFormat="1" applyFont="1" applyFill="1" applyBorder="1"/>
    <xf numFmtId="164" fontId="2" fillId="0" borderId="0" xfId="0" applyNumberFormat="1" applyFont="1" applyFill="1"/>
    <xf numFmtId="164" fontId="36" fillId="0" borderId="0" xfId="0" applyNumberFormat="1" applyFont="1" applyFill="1"/>
    <xf numFmtId="164" fontId="2" fillId="0" borderId="1" xfId="1" applyNumberFormat="1" applyFont="1" applyBorder="1"/>
    <xf numFmtId="164" fontId="2" fillId="0" borderId="3" xfId="1" applyNumberFormat="1" applyFont="1" applyBorder="1"/>
    <xf numFmtId="164" fontId="0" fillId="0" borderId="5" xfId="1" applyNumberFormat="1" applyFont="1" applyFill="1" applyBorder="1"/>
    <xf numFmtId="0" fontId="7" fillId="0" borderId="0" xfId="5" applyNumberFormat="1" applyFont="1" applyFill="1" applyAlignment="1">
      <alignment horizontal="left" vertical="top" wrapText="1"/>
    </xf>
    <xf numFmtId="43" fontId="7" fillId="0" borderId="0" xfId="5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8" fillId="0" borderId="0" xfId="5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37" fillId="0" borderId="0" xfId="0" applyFont="1" applyFill="1"/>
    <xf numFmtId="0" fontId="24" fillId="0" borderId="0" xfId="0" applyFont="1" applyFill="1" applyAlignment="1">
      <alignment wrapText="1"/>
    </xf>
    <xf numFmtId="0" fontId="37" fillId="0" borderId="0" xfId="0" applyFont="1" applyFill="1" applyAlignment="1">
      <alignment horizontal="left" vertical="top" wrapText="1"/>
    </xf>
    <xf numFmtId="168" fontId="7" fillId="0" borderId="0" xfId="0" applyNumberFormat="1" applyFont="1" applyFill="1"/>
    <xf numFmtId="168" fontId="7" fillId="0" borderId="0" xfId="0" applyNumberFormat="1" applyFont="1" applyFill="1" applyBorder="1"/>
    <xf numFmtId="168" fontId="7" fillId="0" borderId="1" xfId="0" applyNumberFormat="1" applyFont="1" applyFill="1" applyBorder="1"/>
    <xf numFmtId="43" fontId="0" fillId="6" borderId="0" xfId="1" applyFont="1" applyFill="1"/>
    <xf numFmtId="43" fontId="0" fillId="3" borderId="0" xfId="1" applyFont="1" applyFill="1"/>
    <xf numFmtId="38" fontId="0" fillId="0" borderId="0" xfId="1" applyNumberFormat="1" applyFont="1" applyFill="1" applyBorder="1"/>
    <xf numFmtId="38" fontId="2" fillId="4" borderId="6" xfId="1" applyNumberFormat="1" applyFont="1" applyFill="1" applyBorder="1"/>
    <xf numFmtId="9" fontId="17" fillId="0" borderId="0" xfId="0" applyNumberFormat="1" applyFont="1" applyFill="1"/>
    <xf numFmtId="164" fontId="32" fillId="0" borderId="0" xfId="1" applyNumberFormat="1" applyFont="1" applyFill="1"/>
    <xf numFmtId="172" fontId="0" fillId="0" borderId="0" xfId="0" applyNumberFormat="1" applyFill="1" applyAlignment="1">
      <alignment horizontal="left" vertical="top" wrapText="1"/>
    </xf>
    <xf numFmtId="0" fontId="6" fillId="2" borderId="0" xfId="0" applyFont="1" applyFill="1"/>
    <xf numFmtId="43" fontId="0" fillId="2" borderId="0" xfId="1" applyFont="1" applyFill="1"/>
    <xf numFmtId="164" fontId="0" fillId="3" borderId="0" xfId="1" applyNumberFormat="1" applyFont="1" applyFill="1"/>
    <xf numFmtId="164" fontId="0" fillId="2" borderId="0" xfId="1" applyNumberFormat="1" applyFont="1" applyFill="1"/>
    <xf numFmtId="165" fontId="0" fillId="0" borderId="0" xfId="1" applyNumberFormat="1" applyFont="1" applyBorder="1"/>
    <xf numFmtId="10" fontId="8" fillId="0" borderId="0" xfId="5" applyNumberFormat="1" applyFont="1" applyFill="1" applyAlignment="1">
      <alignment horizontal="center" vertical="top" wrapText="1"/>
    </xf>
    <xf numFmtId="10" fontId="0" fillId="0" borderId="0" xfId="0" applyNumberFormat="1" applyFill="1"/>
    <xf numFmtId="10" fontId="7" fillId="0" borderId="0" xfId="5" applyNumberFormat="1" applyFont="1" applyFill="1" applyAlignment="1">
      <alignment horizontal="center" vertical="top" wrapText="1"/>
    </xf>
    <xf numFmtId="167" fontId="7" fillId="0" borderId="0" xfId="4" applyNumberFormat="1" applyFont="1" applyFill="1" applyAlignment="1">
      <alignment horizontal="center" vertical="top"/>
    </xf>
    <xf numFmtId="0" fontId="39" fillId="0" borderId="0" xfId="0" applyFont="1" applyAlignment="1">
      <alignment horizontal="center"/>
    </xf>
    <xf numFmtId="10" fontId="0" fillId="0" borderId="0" xfId="0" applyNumberFormat="1" applyFill="1" applyAlignment="1">
      <alignment horizontal="center"/>
    </xf>
    <xf numFmtId="164" fontId="27" fillId="0" borderId="0" xfId="1" applyNumberFormat="1" applyFont="1" applyFill="1"/>
    <xf numFmtId="0" fontId="7" fillId="0" borderId="0" xfId="5" applyNumberFormat="1" applyFont="1" applyFill="1" applyAlignment="1">
      <alignment horizontal="center" vertical="top" wrapText="1"/>
    </xf>
    <xf numFmtId="173" fontId="7" fillId="0" borderId="0" xfId="5" applyNumberFormat="1" applyFont="1" applyFill="1" applyAlignment="1">
      <alignment horizontal="center" vertical="top" wrapText="1"/>
    </xf>
    <xf numFmtId="10" fontId="40" fillId="0" borderId="0" xfId="5" applyNumberFormat="1" applyFont="1" applyFill="1" applyAlignment="1">
      <alignment horizontal="left" vertical="top" wrapText="1"/>
    </xf>
    <xf numFmtId="166" fontId="29" fillId="0" borderId="0" xfId="5" applyNumberFormat="1" applyFont="1"/>
    <xf numFmtId="167" fontId="0" fillId="0" borderId="2" xfId="0" applyNumberFormat="1" applyBorder="1"/>
    <xf numFmtId="0" fontId="31" fillId="0" borderId="0" xfId="0" applyFont="1" applyAlignment="1">
      <alignment horizontal="left" wrapText="1"/>
    </xf>
    <xf numFmtId="166" fontId="2" fillId="4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2" fillId="9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</cellXfs>
  <cellStyles count="6">
    <cellStyle name="Comma" xfId="1" builtinId="3"/>
    <cellStyle name="Currency" xfId="4" builtinId="4"/>
    <cellStyle name="Normal" xfId="0" builtinId="0"/>
    <cellStyle name="Normal 10" xfId="2"/>
    <cellStyle name="Normal 11" xfId="3"/>
    <cellStyle name="Percent" xfId="5" builtinId="5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05046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y%20DeLeonChavez/AppData/Local/Microsoft/Windows/Temporary%20Internet%20Files/Content.Outlook/6T922BTT/Equitas%20#2  13-14 Budget Draft (Template Version - Release 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Budget"/>
      <sheetName val="Balance Sheet"/>
      <sheetName val="Budget By Resource"/>
      <sheetName val="PY Cash Flow"/>
      <sheetName val="CY Cash Flow"/>
      <sheetName val="Y2 Cash Flow"/>
      <sheetName val="Y3 Cash Flow"/>
      <sheetName val="Y4 Cash Flow"/>
      <sheetName val="Y5 Cash Flow"/>
      <sheetName val="School Info"/>
      <sheetName val="School Enrollment &amp; ADA"/>
      <sheetName val="ADA Forecast"/>
      <sheetName val="Nutrition Program"/>
      <sheetName val="After School Program"/>
      <sheetName val="Schedule A - Revenue"/>
      <sheetName val="Schedule B - Development"/>
      <sheetName val="Schedule B Print Version"/>
      <sheetName val="Schedule C - Salary"/>
      <sheetName val="Schedule C - Print Version"/>
      <sheetName val="Staffing Counts"/>
      <sheetName val="Salary Resource Code Allocation"/>
      <sheetName val="Salary Forecast"/>
      <sheetName val="Paychex Actuals "/>
      <sheetName val="Paychex Pivot Table"/>
      <sheetName val="Schedule D - Expense"/>
      <sheetName val="Schedule D Print Version"/>
      <sheetName val="Schedule E - Loans"/>
      <sheetName val="Schedule F - Depreciation"/>
      <sheetName val="Fixed Asset Ledger"/>
      <sheetName val="Cash Flow Assumptions"/>
      <sheetName val="Monthly IS"/>
      <sheetName val="Historical Expenditure Data"/>
      <sheetName val="General Ledger"/>
      <sheetName val="Trial Balances &amp; CF Statements"/>
      <sheetName val="YTD v Budget &amp; Forecast - Chart"/>
      <sheetName val="Actual YTD v FC &amp; Budget"/>
      <sheetName val="Pivot Tbl for Act. v FC &amp; Budg."/>
      <sheetName val="Reference Tables"/>
      <sheetName val="Data Validation Tables"/>
      <sheetName val="Workbook Names"/>
      <sheetName val="Equitas #2  13-14 Budget Draf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9"/>
  <sheetViews>
    <sheetView tabSelected="1" zoomScale="85" zoomScaleNormal="85" workbookViewId="0">
      <selection activeCell="E21" sqref="E21"/>
    </sheetView>
  </sheetViews>
  <sheetFormatPr defaultColWidth="8.85546875" defaultRowHeight="15" x14ac:dyDescent="0.25"/>
  <cols>
    <col min="1" max="1" width="5.85546875" customWidth="1"/>
    <col min="2" max="2" width="48.85546875" bestFit="1" customWidth="1"/>
    <col min="3" max="3" width="16" customWidth="1"/>
    <col min="4" max="15" width="18.28515625" customWidth="1"/>
  </cols>
  <sheetData>
    <row r="1" spans="1:15" x14ac:dyDescent="0.25">
      <c r="A1" s="30" t="s">
        <v>351</v>
      </c>
    </row>
    <row r="2" spans="1:15" x14ac:dyDescent="0.25">
      <c r="A2" s="30" t="str">
        <f ca="1">RIGHT(CELL("filename",A1),LEN(CELL("filename",A1))-FIND("]",CELL("filename",A1)))</f>
        <v>Metrics</v>
      </c>
      <c r="D2" s="41" t="s">
        <v>61</v>
      </c>
      <c r="E2" s="41" t="s">
        <v>62</v>
      </c>
      <c r="F2" s="41" t="s">
        <v>63</v>
      </c>
      <c r="G2" s="41" t="s">
        <v>64</v>
      </c>
      <c r="H2" s="41" t="s">
        <v>65</v>
      </c>
      <c r="I2" s="41" t="s">
        <v>66</v>
      </c>
      <c r="J2" s="41" t="s">
        <v>204</v>
      </c>
      <c r="K2" s="41" t="s">
        <v>352</v>
      </c>
      <c r="L2" s="41" t="s">
        <v>353</v>
      </c>
      <c r="M2" s="41" t="s">
        <v>368</v>
      </c>
      <c r="N2" s="41" t="s">
        <v>368</v>
      </c>
      <c r="O2" s="41" t="s">
        <v>657</v>
      </c>
    </row>
    <row r="3" spans="1:15" x14ac:dyDescent="0.25">
      <c r="D3" s="15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s="251" customFormat="1" ht="23.25" x14ac:dyDescent="0.35">
      <c r="A4" s="250" t="s">
        <v>330</v>
      </c>
      <c r="B4" s="250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32" customFormat="1" ht="19.5" customHeight="1" x14ac:dyDescent="0.3">
      <c r="B5" s="232" t="s">
        <v>546</v>
      </c>
      <c r="C5" s="237"/>
      <c r="D5" s="238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s="232" customFormat="1" ht="19.5" customHeight="1" x14ac:dyDescent="0.3">
      <c r="B6" s="232" t="s">
        <v>535</v>
      </c>
      <c r="C6" s="237">
        <f>(Site1!P4+Site2!P4+Site3!P4+Site4!P4+Site5!P4+Site6!P4)/6</f>
        <v>0.02</v>
      </c>
      <c r="D6" s="238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s="232" customFormat="1" ht="19.5" customHeight="1" x14ac:dyDescent="0.3">
      <c r="B7" s="232" t="s">
        <v>543</v>
      </c>
      <c r="C7" s="237">
        <f>(Site1!P6+Site2!P6+Site3!P6+Site4!P6+Site5!P6+Site6!P6)/6</f>
        <v>7.4999999999999997E-3</v>
      </c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232" customFormat="1" ht="19.5" customHeight="1" x14ac:dyDescent="0.3">
      <c r="B8" s="232" t="s">
        <v>538</v>
      </c>
      <c r="C8" s="237">
        <f>(Site1!P8+Site2!P8+Site3!P8+Site4!P8+Site5!P8+Site6!P8)/6</f>
        <v>0.04</v>
      </c>
      <c r="D8" s="238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9" spans="1:15" s="232" customFormat="1" ht="19.5" customHeight="1" x14ac:dyDescent="0.3">
      <c r="B9" s="232" t="s">
        <v>536</v>
      </c>
      <c r="C9" s="237">
        <f>(Site1!P10+Site2!P10+Site3!P10+Site4!P10+Site5!P10+Site6!P10)/6</f>
        <v>0.02</v>
      </c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</row>
    <row r="10" spans="1:15" s="232" customFormat="1" ht="19.5" customHeight="1" x14ac:dyDescent="0.3">
      <c r="B10" s="232" t="s">
        <v>547</v>
      </c>
      <c r="C10" s="255">
        <f>Revenue!P6</f>
        <v>7.4999999999999997E-3</v>
      </c>
      <c r="D10" s="238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s="232" customFormat="1" ht="19.5" customHeight="1" x14ac:dyDescent="0.3">
      <c r="B11" s="232" t="s">
        <v>548</v>
      </c>
      <c r="C11" s="237"/>
      <c r="D11" s="237">
        <f>'Organizational Rollup'!D62/'Organizational Rollup'!D36</f>
        <v>0.29626266398113932</v>
      </c>
      <c r="E11" s="237">
        <f>'Organizational Rollup'!E62/'Organizational Rollup'!E36</f>
        <v>0.2952789647663891</v>
      </c>
      <c r="F11" s="237">
        <f>'Organizational Rollup'!F62/'Organizational Rollup'!F36</f>
        <v>0.29644602061229786</v>
      </c>
      <c r="G11" s="237">
        <f>'Organizational Rollup'!G62/'Organizational Rollup'!G36</f>
        <v>0.29556278080249393</v>
      </c>
      <c r="H11" s="237">
        <f>'Organizational Rollup'!H62/'Organizational Rollup'!H36</f>
        <v>0.29574774232584294</v>
      </c>
      <c r="I11" s="237">
        <f>'Organizational Rollup'!I62/'Organizational Rollup'!I36</f>
        <v>0.29673140870891451</v>
      </c>
      <c r="J11" s="237">
        <f>'Organizational Rollup'!J62/'Organizational Rollup'!J36</f>
        <v>0.29768087573150404</v>
      </c>
      <c r="K11" s="237">
        <f>'Organizational Rollup'!K62/'Organizational Rollup'!K36</f>
        <v>0.29783808845829451</v>
      </c>
      <c r="L11" s="237">
        <f>'Organizational Rollup'!L62/'Organizational Rollup'!L36</f>
        <v>0.29799879487758885</v>
      </c>
      <c r="M11" s="237">
        <f>'Organizational Rollup'!M62/'Organizational Rollup'!M36</f>
        <v>0.29803599356513788</v>
      </c>
      <c r="N11" s="237">
        <f>'Organizational Rollup'!N62/'Organizational Rollup'!N36</f>
        <v>0.29887917306593187</v>
      </c>
      <c r="O11" s="237">
        <f>'Organizational Rollup'!O62/'Organizational Rollup'!O36</f>
        <v>0.29969541077920786</v>
      </c>
    </row>
    <row r="12" spans="1:15" s="232" customFormat="1" ht="19.5" customHeight="1" x14ac:dyDescent="0.3">
      <c r="B12" s="232" t="s">
        <v>545</v>
      </c>
      <c r="C12" s="237"/>
      <c r="D12" s="237">
        <f>(Site1!E80+Site1!E79+Site1!E78+Site2!E80+Site2!E79+Site2!E78+Site3!E80+Site3!E79+Site3!E78+Site4!E80+Site4!E79+Site4!E78+Site5!E80+Site5!E79+Site5!E78+Site6!E80+Site6!E79+Site6!E78+CSO!E80+CSO!E79+CSO!E78)/'Organizational Rollup'!D36</f>
        <v>4.8044514539159804E-2</v>
      </c>
      <c r="E12" s="237">
        <f>(Site1!F80+Site1!F79+Site1!F78+Site2!F80+Site2!F79+Site2!F78+Site3!F80+Site3!F79+Site3!F78+Site4!F80+Site4!F79+Site4!F78+Site5!F80+Site5!F79+Site5!F78+Site6!F80+Site6!F79+Site6!F78+CSO!F80+CSO!F79+CSO!F78)/'Organizational Rollup'!E36</f>
        <v>5.0375119991736717E-2</v>
      </c>
      <c r="F12" s="237">
        <f>(Site1!G80+Site1!G79+Site1!G78+Site2!G80+Site2!G79+Site2!G78+Site3!G80+Site3!G79+Site3!G78+Site4!G80+Site4!G79+Site4!G78+Site5!G80+Site5!G79+Site5!G78+Site6!G80+Site6!G79+Site6!G78+CSO!G80+CSO!G79+CSO!G78)/'Organizational Rollup'!F36</f>
        <v>5.1016546501860376E-2</v>
      </c>
      <c r="G12" s="237">
        <f>(Site1!H80+Site1!H79+Site1!H78+Site2!H80+Site2!H79+Site2!H78+Site3!H80+Site3!H79+Site3!H78+Site4!H80+Site4!H79+Site4!H78+Site5!H80+Site5!H79+Site5!H78+Site6!H80+Site6!H79+Site6!H78+CSO!H80+CSO!H79+CSO!H78)/'Organizational Rollup'!G36</f>
        <v>5.2614605503000615E-2</v>
      </c>
      <c r="H12" s="237">
        <f>(Site1!I80+Site1!I79+Site1!I78+Site2!I80+Site2!I79+Site2!I78+Site3!I80+Site3!I79+Site3!I78+Site4!I80+Site4!I79+Site4!I78+Site5!I80+Site5!I79+Site5!I78+Site6!I80+Site6!I79+Site6!I78+CSO!I80+CSO!I79+CSO!I78)/'Organizational Rollup'!H36</f>
        <v>5.3301628444633348E-2</v>
      </c>
      <c r="I12" s="237">
        <f>(Site1!J80+Site1!J79+Site1!J78+Site2!J80+Site2!J79+Site2!J78+Site3!J80+Site3!J79+Site3!J78+Site4!J80+Site4!J79+Site4!J78+Site5!J80+Site5!J79+Site5!J78+Site6!J80+Site6!J79+Site6!J78+CSO!J80+CSO!J79+CSO!J78)/'Organizational Rollup'!I36</f>
        <v>5.4164132209282366E-2</v>
      </c>
      <c r="J12" s="237">
        <f>(Site1!K80+Site1!K79+Site1!K78+Site2!K80+Site2!K79+Site2!K78+Site3!K80+Site3!K79+Site3!K78+Site4!K80+Site4!K79+Site4!K78+Site5!K80+Site5!K79+Site5!K78+Site6!K80+Site6!K79+Site6!K78+CSO!K80+CSO!K79+CSO!K78)/'Organizational Rollup'!J36</f>
        <v>5.4996649102699378E-2</v>
      </c>
      <c r="K12" s="237">
        <f>(Site1!L80+Site1!L79+Site1!L78+Site2!L80+Site2!L79+Site2!L78+Site3!L80+Site3!L79+Site3!L78+Site4!L80+Site4!L79+Site4!L78+Site5!L80+Site5!L79+Site5!L78+Site6!L80+Site6!L79+Site6!L78+CSO!L80+CSO!L79+CSO!L78)/'Organizational Rollup'!K36</f>
        <v>5.6073534617434501E-2</v>
      </c>
      <c r="L12" s="237">
        <f>(Site1!M80+Site1!M79+Site1!M78+Site2!M80+Site2!M79+Site2!M78+Site3!M80+Site3!M79+Site3!M78+Site4!M80+Site4!M79+Site4!M78+Site5!M80+Site5!M79+Site5!M78+Site6!M80+Site6!M79+Site6!M78+CSO!M80+CSO!M79+CSO!M78)/'Organizational Rollup'!L36</f>
        <v>5.7122239814215839E-2</v>
      </c>
      <c r="M12" s="237">
        <f>(Site1!N80+Site1!N79+Site1!N78+Site2!N80+Site2!N79+Site2!N78+Site3!N80+Site3!N79+Site3!N78+Site4!N80+Site4!N79+Site4!N78+Site5!N80+Site5!N79+Site5!N78+Site6!N80+Site6!N79+Site6!N78+CSO!N80+CSO!N79+CSO!N78)/'Organizational Rollup'!M36</f>
        <v>5.8119147886801767E-2</v>
      </c>
      <c r="N12" s="237">
        <f>(Site1!O80+Site1!O79+Site1!O78+Site2!O80+Site2!O79+Site2!O78+Site3!O80+Site3!O79+Site3!O78+Site4!O80+Site4!O79+Site4!O78+Site5!O80+Site5!O79+Site5!O78+Site6!O80+Site6!O79+Site6!O78+CSO!O80+CSO!O79+CSO!O78)/'Organizational Rollup'!N36</f>
        <v>5.8857176902597327E-2</v>
      </c>
      <c r="O12" s="237">
        <f>(Site1!P80+Site1!P79+Site1!P78+Site2!P80+Site2!P79+Site2!P78+Site3!P80+Site3!P79+Site3!P78+Site4!P80+Site4!P79+Site4!P78+Site5!P80+Site5!P79+Site5!P78+Site6!P80+Site6!P79+Site6!P78+CSO!P80+CSO!P79+CSO!P78)/'Organizational Rollup'!O36</f>
        <v>5.957162396353391E-2</v>
      </c>
    </row>
    <row r="13" spans="1:15" s="232" customFormat="1" ht="19.5" customHeight="1" x14ac:dyDescent="0.3">
      <c r="B13" s="232" t="s">
        <v>555</v>
      </c>
      <c r="C13" s="240">
        <f>CSO!D35</f>
        <v>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5" spans="1:15" x14ac:dyDescent="0.25">
      <c r="B15" s="158"/>
      <c r="D15" s="157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s="250" customFormat="1" ht="23.25" x14ac:dyDescent="0.35">
      <c r="A16" s="250" t="s">
        <v>43</v>
      </c>
      <c r="D16" s="317">
        <f>'School Rollup'!D166</f>
        <v>750</v>
      </c>
      <c r="E16" s="245">
        <f>'School Rollup'!E166</f>
        <v>855</v>
      </c>
      <c r="F16" s="245">
        <f>'School Rollup'!F166</f>
        <v>1000</v>
      </c>
      <c r="G16" s="245">
        <f>'School Rollup'!G166</f>
        <v>1070</v>
      </c>
      <c r="H16" s="245">
        <f>'School Rollup'!H166</f>
        <v>1120</v>
      </c>
      <c r="I16" s="245">
        <f>'School Rollup'!I166</f>
        <v>1160</v>
      </c>
      <c r="J16" s="245">
        <f>'School Rollup'!J166</f>
        <v>1202</v>
      </c>
      <c r="K16" s="245">
        <f>'School Rollup'!K166</f>
        <v>1244</v>
      </c>
      <c r="L16" s="245">
        <f>'School Rollup'!L166</f>
        <v>1291</v>
      </c>
      <c r="M16" s="245">
        <f>'School Rollup'!M166</f>
        <v>1338</v>
      </c>
      <c r="N16" s="245">
        <f>'School Rollup'!N166</f>
        <v>1387</v>
      </c>
      <c r="O16" s="245">
        <f>'School Rollup'!O166</f>
        <v>1438</v>
      </c>
    </row>
    <row r="17" spans="1:15" s="232" customFormat="1" ht="19.5" customHeight="1" x14ac:dyDescent="0.3">
      <c r="B17" s="232" t="s">
        <v>739</v>
      </c>
      <c r="D17" s="233">
        <f>'School Rollup'!Q166</f>
        <v>300</v>
      </c>
      <c r="E17" s="233">
        <f>'School Rollup'!R166</f>
        <v>306</v>
      </c>
      <c r="F17" s="233">
        <f>'School Rollup'!S166</f>
        <v>312</v>
      </c>
      <c r="G17" s="233">
        <f>'School Rollup'!T166</f>
        <v>318</v>
      </c>
      <c r="H17" s="233">
        <f>'School Rollup'!U166</f>
        <v>324</v>
      </c>
      <c r="I17" s="233">
        <f>'School Rollup'!V166</f>
        <v>330</v>
      </c>
      <c r="J17" s="233">
        <f>'School Rollup'!W166</f>
        <v>337</v>
      </c>
      <c r="K17" s="233">
        <f>'School Rollup'!X166</f>
        <v>344</v>
      </c>
      <c r="L17" s="233">
        <f>'School Rollup'!Y166</f>
        <v>351</v>
      </c>
      <c r="M17" s="233">
        <f>'School Rollup'!Z166</f>
        <v>358</v>
      </c>
      <c r="N17" s="233">
        <f>'School Rollup'!AA166</f>
        <v>365</v>
      </c>
      <c r="O17" s="233">
        <f>'School Rollup'!AB166</f>
        <v>372</v>
      </c>
    </row>
    <row r="18" spans="1:15" s="232" customFormat="1" ht="19.5" customHeight="1" x14ac:dyDescent="0.3">
      <c r="B18" s="232" t="s">
        <v>740</v>
      </c>
      <c r="D18" s="233">
        <f>'School Rollup'!AD166</f>
        <v>200</v>
      </c>
      <c r="E18" s="233">
        <f>'School Rollup'!AE166</f>
        <v>204</v>
      </c>
      <c r="F18" s="233">
        <f>'School Rollup'!AF166</f>
        <v>208</v>
      </c>
      <c r="G18" s="233">
        <f>'School Rollup'!AG166</f>
        <v>212</v>
      </c>
      <c r="H18" s="233">
        <f>'School Rollup'!AH166</f>
        <v>216</v>
      </c>
      <c r="I18" s="233">
        <f>'School Rollup'!AI166</f>
        <v>220</v>
      </c>
      <c r="J18" s="233">
        <f>'School Rollup'!AJ166</f>
        <v>224</v>
      </c>
      <c r="K18" s="233">
        <f>'School Rollup'!AK166</f>
        <v>228</v>
      </c>
      <c r="L18" s="233">
        <f>'School Rollup'!AL166</f>
        <v>233</v>
      </c>
      <c r="M18" s="233">
        <f>'School Rollup'!AM166</f>
        <v>238</v>
      </c>
      <c r="N18" s="233">
        <f>'School Rollup'!AN166</f>
        <v>243</v>
      </c>
      <c r="O18" s="233">
        <f>'School Rollup'!AO166</f>
        <v>248</v>
      </c>
    </row>
    <row r="19" spans="1:15" s="232" customFormat="1" ht="19.5" customHeight="1" x14ac:dyDescent="0.3">
      <c r="B19" s="232" t="s">
        <v>741</v>
      </c>
      <c r="D19" s="233">
        <f>'School Rollup'!AQ166</f>
        <v>85</v>
      </c>
      <c r="E19" s="233">
        <f>'School Rollup'!AR166</f>
        <v>110</v>
      </c>
      <c r="F19" s="233">
        <f>'School Rollup'!AS166</f>
        <v>120</v>
      </c>
      <c r="G19" s="233">
        <f>'School Rollup'!AT166</f>
        <v>126</v>
      </c>
      <c r="H19" s="233">
        <f>'School Rollup'!AU166</f>
        <v>132</v>
      </c>
      <c r="I19" s="233">
        <f>'School Rollup'!AV166</f>
        <v>139</v>
      </c>
      <c r="J19" s="233">
        <f>'School Rollup'!AW166</f>
        <v>146</v>
      </c>
      <c r="K19" s="233">
        <f>'School Rollup'!AX166</f>
        <v>153</v>
      </c>
      <c r="L19" s="233">
        <f>'School Rollup'!AY166</f>
        <v>161</v>
      </c>
      <c r="M19" s="233">
        <f>'School Rollup'!AZ166</f>
        <v>169</v>
      </c>
      <c r="N19" s="233">
        <f>'School Rollup'!BA166</f>
        <v>177</v>
      </c>
      <c r="O19" s="233">
        <f>'School Rollup'!BB166</f>
        <v>186</v>
      </c>
    </row>
    <row r="20" spans="1:15" s="232" customFormat="1" ht="19.5" customHeight="1" x14ac:dyDescent="0.3">
      <c r="B20" s="232" t="s">
        <v>742</v>
      </c>
      <c r="D20" s="233">
        <f>'School Rollup'!BD166</f>
        <v>90</v>
      </c>
      <c r="E20" s="233">
        <f>'School Rollup'!BE166</f>
        <v>130</v>
      </c>
      <c r="F20" s="233">
        <f>'School Rollup'!BF166</f>
        <v>150</v>
      </c>
      <c r="G20" s="233">
        <f>'School Rollup'!BG166</f>
        <v>158</v>
      </c>
      <c r="H20" s="233">
        <f>'School Rollup'!BH166</f>
        <v>166</v>
      </c>
      <c r="I20" s="233">
        <f>'School Rollup'!BI166</f>
        <v>174</v>
      </c>
      <c r="J20" s="233">
        <f>'School Rollup'!BJ166</f>
        <v>183</v>
      </c>
      <c r="K20" s="233">
        <f>'School Rollup'!BK166</f>
        <v>192</v>
      </c>
      <c r="L20" s="233">
        <f>'School Rollup'!BL166</f>
        <v>202</v>
      </c>
      <c r="M20" s="233">
        <f>'School Rollup'!BM166</f>
        <v>212</v>
      </c>
      <c r="N20" s="233">
        <f>'School Rollup'!BN166</f>
        <v>223</v>
      </c>
      <c r="O20" s="233">
        <f>'School Rollup'!BO166</f>
        <v>234</v>
      </c>
    </row>
    <row r="21" spans="1:15" s="232" customFormat="1" ht="19.5" customHeight="1" x14ac:dyDescent="0.3">
      <c r="B21" s="232" t="s">
        <v>744</v>
      </c>
      <c r="D21" s="233">
        <f>'School Rollup'!BQ166</f>
        <v>75</v>
      </c>
      <c r="E21" s="233">
        <f>'School Rollup'!BR166</f>
        <v>105</v>
      </c>
      <c r="F21" s="233">
        <f>'School Rollup'!BS166</f>
        <v>120</v>
      </c>
      <c r="G21" s="233">
        <f>'School Rollup'!BT166</f>
        <v>126</v>
      </c>
      <c r="H21" s="233">
        <f>'School Rollup'!BU166</f>
        <v>132</v>
      </c>
      <c r="I21" s="233">
        <f>'School Rollup'!BV166</f>
        <v>139</v>
      </c>
      <c r="J21" s="233">
        <f>'School Rollup'!BW166</f>
        <v>146</v>
      </c>
      <c r="K21" s="233">
        <f>'School Rollup'!BX166</f>
        <v>153</v>
      </c>
      <c r="L21" s="233">
        <f>'School Rollup'!BY166</f>
        <v>161</v>
      </c>
      <c r="M21" s="233">
        <f>'School Rollup'!BZ166</f>
        <v>169</v>
      </c>
      <c r="N21" s="233">
        <f>'School Rollup'!CA166</f>
        <v>177</v>
      </c>
      <c r="O21" s="233">
        <f>'School Rollup'!CB166</f>
        <v>186</v>
      </c>
    </row>
    <row r="22" spans="1:15" s="232" customFormat="1" ht="19.5" customHeight="1" x14ac:dyDescent="0.3">
      <c r="B22" s="232" t="s">
        <v>743</v>
      </c>
      <c r="D22" s="233">
        <f>'School Rollup'!CD166</f>
        <v>0</v>
      </c>
      <c r="E22" s="233">
        <f>'School Rollup'!CE166</f>
        <v>0</v>
      </c>
      <c r="F22" s="233">
        <f>'School Rollup'!CF166</f>
        <v>90</v>
      </c>
      <c r="G22" s="233">
        <f>'School Rollup'!CG166</f>
        <v>130</v>
      </c>
      <c r="H22" s="233">
        <f>'School Rollup'!CH166</f>
        <v>150</v>
      </c>
      <c r="I22" s="233">
        <f>'School Rollup'!CI166</f>
        <v>158</v>
      </c>
      <c r="J22" s="233">
        <f>'School Rollup'!CJ166</f>
        <v>166</v>
      </c>
      <c r="K22" s="233">
        <f>'School Rollup'!CK166</f>
        <v>174</v>
      </c>
      <c r="L22" s="233">
        <f>'School Rollup'!CL166</f>
        <v>183</v>
      </c>
      <c r="M22" s="233">
        <f>'School Rollup'!CM166</f>
        <v>192</v>
      </c>
      <c r="N22" s="233">
        <f>'School Rollup'!CN166</f>
        <v>202</v>
      </c>
      <c r="O22" s="233">
        <f>'School Rollup'!CO166</f>
        <v>212</v>
      </c>
    </row>
    <row r="23" spans="1:15" x14ac:dyDescent="0.25"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5" s="250" customFormat="1" ht="23.25" x14ac:dyDescent="0.35">
      <c r="A24" s="250" t="s">
        <v>331</v>
      </c>
      <c r="D24" s="244">
        <f>SUM(D25:D31)</f>
        <v>18</v>
      </c>
      <c r="E24" s="244">
        <f t="shared" ref="E24:O24" si="0">SUM(E25:E31)</f>
        <v>20</v>
      </c>
      <c r="F24" s="244">
        <f t="shared" si="0"/>
        <v>21.5</v>
      </c>
      <c r="G24" s="244">
        <f t="shared" si="0"/>
        <v>22.5</v>
      </c>
      <c r="H24" s="244">
        <f t="shared" si="0"/>
        <v>22.5</v>
      </c>
      <c r="I24" s="244">
        <f t="shared" si="0"/>
        <v>22.5</v>
      </c>
      <c r="J24" s="244">
        <f t="shared" si="0"/>
        <v>22.5</v>
      </c>
      <c r="K24" s="244">
        <f t="shared" si="0"/>
        <v>23</v>
      </c>
      <c r="L24" s="244">
        <f t="shared" si="0"/>
        <v>23.5</v>
      </c>
      <c r="M24" s="244">
        <f t="shared" si="0"/>
        <v>24</v>
      </c>
      <c r="N24" s="244">
        <f t="shared" si="0"/>
        <v>24</v>
      </c>
      <c r="O24" s="244">
        <f t="shared" si="0"/>
        <v>24</v>
      </c>
    </row>
    <row r="25" spans="1:15" s="232" customFormat="1" ht="19.5" customHeight="1" x14ac:dyDescent="0.3">
      <c r="B25" s="232" t="s">
        <v>332</v>
      </c>
      <c r="D25" s="236">
        <f>CSO!E205</f>
        <v>8</v>
      </c>
      <c r="E25" s="236">
        <f>CSO!F205</f>
        <v>8</v>
      </c>
      <c r="F25" s="236">
        <f>CSO!G205</f>
        <v>8</v>
      </c>
      <c r="G25" s="236">
        <f>CSO!H205</f>
        <v>8</v>
      </c>
      <c r="H25" s="236">
        <f>CSO!I205</f>
        <v>8</v>
      </c>
      <c r="I25" s="236">
        <f>CSO!J205</f>
        <v>8</v>
      </c>
      <c r="J25" s="236">
        <f>CSO!K205</f>
        <v>8</v>
      </c>
      <c r="K25" s="236">
        <f>CSO!L205</f>
        <v>8</v>
      </c>
      <c r="L25" s="236">
        <f>CSO!M205</f>
        <v>8</v>
      </c>
      <c r="M25" s="236">
        <f>CSO!N205</f>
        <v>8</v>
      </c>
      <c r="N25" s="236">
        <f>CSO!O205</f>
        <v>8</v>
      </c>
      <c r="O25" s="236">
        <f>CSO!P205</f>
        <v>8</v>
      </c>
    </row>
    <row r="26" spans="1:15" s="232" customFormat="1" ht="19.5" customHeight="1" x14ac:dyDescent="0.3">
      <c r="B26" s="232" t="s">
        <v>739</v>
      </c>
      <c r="D26" s="236">
        <f>'School Rollup'!Q168+'School Rollup'!Q169</f>
        <v>3</v>
      </c>
      <c r="E26" s="236">
        <f>'School Rollup'!R168+'School Rollup'!R169</f>
        <v>3</v>
      </c>
      <c r="F26" s="236">
        <f>'School Rollup'!S168+'School Rollup'!S169</f>
        <v>3</v>
      </c>
      <c r="G26" s="236">
        <f>'School Rollup'!T168+'School Rollup'!T169</f>
        <v>3</v>
      </c>
      <c r="H26" s="236">
        <f>'School Rollup'!U168+'School Rollup'!U169</f>
        <v>3</v>
      </c>
      <c r="I26" s="236">
        <f>'School Rollup'!V168+'School Rollup'!V169</f>
        <v>3</v>
      </c>
      <c r="J26" s="236">
        <f>'School Rollup'!W168+'School Rollup'!W169</f>
        <v>3</v>
      </c>
      <c r="K26" s="236">
        <f>'School Rollup'!X168+'School Rollup'!X169</f>
        <v>3</v>
      </c>
      <c r="L26" s="236">
        <f>'School Rollup'!Y168+'School Rollup'!Y169</f>
        <v>3</v>
      </c>
      <c r="M26" s="236">
        <f>'School Rollup'!Z168+'School Rollup'!Z169</f>
        <v>3</v>
      </c>
      <c r="N26" s="236">
        <f>'School Rollup'!AA168+'School Rollup'!AA169</f>
        <v>3</v>
      </c>
      <c r="O26" s="236">
        <f>'School Rollup'!AB168+'School Rollup'!AB169</f>
        <v>3</v>
      </c>
    </row>
    <row r="27" spans="1:15" s="232" customFormat="1" ht="19.5" customHeight="1" x14ac:dyDescent="0.3">
      <c r="B27" s="232" t="s">
        <v>740</v>
      </c>
      <c r="D27" s="236">
        <f>'School Rollup'!AD168+'School Rollup'!AD169</f>
        <v>3</v>
      </c>
      <c r="E27" s="236">
        <f>'School Rollup'!AE168+'School Rollup'!AE169</f>
        <v>3</v>
      </c>
      <c r="F27" s="236">
        <f>'School Rollup'!AF168+'School Rollup'!AF169</f>
        <v>3</v>
      </c>
      <c r="G27" s="236">
        <f>'School Rollup'!AG168+'School Rollup'!AG169</f>
        <v>3</v>
      </c>
      <c r="H27" s="236">
        <f>'School Rollup'!AH168+'School Rollup'!AH169</f>
        <v>3</v>
      </c>
      <c r="I27" s="236">
        <f>'School Rollup'!AI168+'School Rollup'!AI169</f>
        <v>3</v>
      </c>
      <c r="J27" s="236">
        <f>'School Rollup'!AJ168+'School Rollup'!AJ169</f>
        <v>3</v>
      </c>
      <c r="K27" s="236">
        <f>'School Rollup'!AK168+'School Rollup'!AK169</f>
        <v>3</v>
      </c>
      <c r="L27" s="236">
        <f>'School Rollup'!AL168+'School Rollup'!AL169</f>
        <v>3</v>
      </c>
      <c r="M27" s="236">
        <f>'School Rollup'!AM168+'School Rollup'!AM169</f>
        <v>3</v>
      </c>
      <c r="N27" s="236">
        <f>'School Rollup'!AN168+'School Rollup'!AN169</f>
        <v>3</v>
      </c>
      <c r="O27" s="236">
        <f>'School Rollup'!AO168+'School Rollup'!AO169</f>
        <v>3</v>
      </c>
    </row>
    <row r="28" spans="1:15" s="232" customFormat="1" ht="19.5" customHeight="1" x14ac:dyDescent="0.3">
      <c r="B28" s="232" t="s">
        <v>741</v>
      </c>
      <c r="D28" s="236">
        <f>'School Rollup'!AQ168+'School Rollup'!AQ169</f>
        <v>1</v>
      </c>
      <c r="E28" s="236">
        <f>'School Rollup'!AR168+'School Rollup'!AR169</f>
        <v>2</v>
      </c>
      <c r="F28" s="236">
        <f>'School Rollup'!AS168+'School Rollup'!AS169</f>
        <v>2</v>
      </c>
      <c r="G28" s="236">
        <f>'School Rollup'!AT168+'School Rollup'!AT169</f>
        <v>2</v>
      </c>
      <c r="H28" s="236">
        <f>'School Rollup'!AU168+'School Rollup'!AU169</f>
        <v>2</v>
      </c>
      <c r="I28" s="236">
        <f>'School Rollup'!AV168+'School Rollup'!AV169</f>
        <v>2</v>
      </c>
      <c r="J28" s="236">
        <f>'School Rollup'!AW168+'School Rollup'!AW169</f>
        <v>2</v>
      </c>
      <c r="K28" s="236">
        <f>'School Rollup'!AX168+'School Rollup'!AX169</f>
        <v>2</v>
      </c>
      <c r="L28" s="236">
        <f>'School Rollup'!AY168+'School Rollup'!AY169</f>
        <v>2.5</v>
      </c>
      <c r="M28" s="236">
        <f>'School Rollup'!AZ168+'School Rollup'!AZ169</f>
        <v>2.5</v>
      </c>
      <c r="N28" s="236">
        <f>'School Rollup'!BA168+'School Rollup'!BA169</f>
        <v>2.5</v>
      </c>
      <c r="O28" s="236">
        <f>'School Rollup'!BB168+'School Rollup'!BB169</f>
        <v>2.5</v>
      </c>
    </row>
    <row r="29" spans="1:15" s="232" customFormat="1" ht="19.5" customHeight="1" x14ac:dyDescent="0.3">
      <c r="B29" s="232" t="s">
        <v>742</v>
      </c>
      <c r="D29" s="236">
        <f>'School Rollup'!BD168+'School Rollup'!BD169</f>
        <v>1</v>
      </c>
      <c r="E29" s="236">
        <f>'School Rollup'!BE168+'School Rollup'!BE169</f>
        <v>2</v>
      </c>
      <c r="F29" s="236">
        <f>'School Rollup'!BF168+'School Rollup'!BF169</f>
        <v>2</v>
      </c>
      <c r="G29" s="236">
        <f>'School Rollup'!BG168+'School Rollup'!BG169</f>
        <v>2</v>
      </c>
      <c r="H29" s="236">
        <f>'School Rollup'!BH168+'School Rollup'!BH169</f>
        <v>2</v>
      </c>
      <c r="I29" s="236">
        <f>'School Rollup'!BI168+'School Rollup'!BI169</f>
        <v>2</v>
      </c>
      <c r="J29" s="236">
        <f>'School Rollup'!BJ168+'School Rollup'!BJ169</f>
        <v>2</v>
      </c>
      <c r="K29" s="236">
        <f>'School Rollup'!BK168+'School Rollup'!BK169</f>
        <v>2.5</v>
      </c>
      <c r="L29" s="236">
        <f>'School Rollup'!BL168+'School Rollup'!BL169</f>
        <v>2.5</v>
      </c>
      <c r="M29" s="236">
        <f>'School Rollup'!BM168+'School Rollup'!BM169</f>
        <v>2.5</v>
      </c>
      <c r="N29" s="236">
        <f>'School Rollup'!BN168+'School Rollup'!BN169</f>
        <v>2.5</v>
      </c>
      <c r="O29" s="236">
        <f>'School Rollup'!BO168+'School Rollup'!BO169</f>
        <v>2.5</v>
      </c>
    </row>
    <row r="30" spans="1:15" s="232" customFormat="1" ht="19.5" customHeight="1" x14ac:dyDescent="0.3">
      <c r="B30" s="232" t="s">
        <v>744</v>
      </c>
      <c r="D30" s="236">
        <f>'School Rollup'!BQ168+'School Rollup'!BQ169</f>
        <v>2</v>
      </c>
      <c r="E30" s="236">
        <f>'School Rollup'!BR168+'School Rollup'!BR169</f>
        <v>2</v>
      </c>
      <c r="F30" s="236">
        <f>'School Rollup'!BS168+'School Rollup'!BS169</f>
        <v>2.5</v>
      </c>
      <c r="G30" s="236">
        <f>'School Rollup'!BT168+'School Rollup'!BT169</f>
        <v>2.5</v>
      </c>
      <c r="H30" s="236">
        <f>'School Rollup'!BU168+'School Rollup'!BU169</f>
        <v>2.5</v>
      </c>
      <c r="I30" s="236">
        <f>'School Rollup'!BV168+'School Rollup'!BV169</f>
        <v>2.5</v>
      </c>
      <c r="J30" s="236">
        <f>'School Rollup'!BW168+'School Rollup'!BW169</f>
        <v>2.5</v>
      </c>
      <c r="K30" s="236">
        <f>'School Rollup'!BX168+'School Rollup'!BX169</f>
        <v>2.5</v>
      </c>
      <c r="L30" s="236">
        <f>'School Rollup'!BY168+'School Rollup'!BY169</f>
        <v>2.5</v>
      </c>
      <c r="M30" s="236">
        <f>'School Rollup'!BZ168+'School Rollup'!BZ169</f>
        <v>3</v>
      </c>
      <c r="N30" s="236">
        <f>'School Rollup'!CA168+'School Rollup'!CA169</f>
        <v>3</v>
      </c>
      <c r="O30" s="236">
        <f>'School Rollup'!CB168+'School Rollup'!CB169</f>
        <v>3</v>
      </c>
    </row>
    <row r="31" spans="1:15" s="232" customFormat="1" ht="19.5" customHeight="1" x14ac:dyDescent="0.3">
      <c r="B31" s="232" t="s">
        <v>743</v>
      </c>
      <c r="D31" s="236">
        <f>'School Rollup'!CD168+'School Rollup'!CD169</f>
        <v>0</v>
      </c>
      <c r="E31" s="236">
        <f>'School Rollup'!CE168+'School Rollup'!CE169</f>
        <v>0</v>
      </c>
      <c r="F31" s="236">
        <f>'School Rollup'!CF168+'School Rollup'!CF169</f>
        <v>1</v>
      </c>
      <c r="G31" s="236">
        <f>'School Rollup'!CG168+'School Rollup'!CG169</f>
        <v>2</v>
      </c>
      <c r="H31" s="236">
        <f>'School Rollup'!CH168+'School Rollup'!CH169</f>
        <v>2</v>
      </c>
      <c r="I31" s="236">
        <f>'School Rollup'!CI168+'School Rollup'!CI169</f>
        <v>2</v>
      </c>
      <c r="J31" s="236">
        <f>'School Rollup'!CJ168+'School Rollup'!CJ169</f>
        <v>2</v>
      </c>
      <c r="K31" s="236">
        <f>'School Rollup'!CK168+'School Rollup'!CK169</f>
        <v>2</v>
      </c>
      <c r="L31" s="236">
        <f>'School Rollup'!CL168+'School Rollup'!CL169</f>
        <v>2</v>
      </c>
      <c r="M31" s="236">
        <f>'School Rollup'!CM168+'School Rollup'!CM169</f>
        <v>2</v>
      </c>
      <c r="N31" s="236">
        <f>'School Rollup'!CN168+'School Rollup'!CN169</f>
        <v>2</v>
      </c>
      <c r="O31" s="236">
        <f>'School Rollup'!CO168+'School Rollup'!CO169</f>
        <v>2</v>
      </c>
    </row>
    <row r="33" spans="1:15" s="251" customFormat="1" ht="23.25" x14ac:dyDescent="0.35">
      <c r="A33" s="250" t="s">
        <v>333</v>
      </c>
      <c r="D33" s="244">
        <f>D16/D24</f>
        <v>41.666666666666664</v>
      </c>
      <c r="E33" s="244">
        <f t="shared" ref="E33:O33" si="1">E16/E24</f>
        <v>42.75</v>
      </c>
      <c r="F33" s="244">
        <f t="shared" si="1"/>
        <v>46.511627906976742</v>
      </c>
      <c r="G33" s="244">
        <f t="shared" si="1"/>
        <v>47.555555555555557</v>
      </c>
      <c r="H33" s="244">
        <f t="shared" si="1"/>
        <v>49.777777777777779</v>
      </c>
      <c r="I33" s="244">
        <f t="shared" si="1"/>
        <v>51.555555555555557</v>
      </c>
      <c r="J33" s="244">
        <f t="shared" si="1"/>
        <v>53.422222222222224</v>
      </c>
      <c r="K33" s="244">
        <f t="shared" si="1"/>
        <v>54.086956521739133</v>
      </c>
      <c r="L33" s="244">
        <f t="shared" si="1"/>
        <v>54.936170212765958</v>
      </c>
      <c r="M33" s="244">
        <f t="shared" si="1"/>
        <v>55.75</v>
      </c>
      <c r="N33" s="244">
        <f t="shared" si="1"/>
        <v>57.791666666666664</v>
      </c>
      <c r="O33" s="244">
        <f t="shared" si="1"/>
        <v>59.916666666666664</v>
      </c>
    </row>
    <row r="34" spans="1:15" s="232" customFormat="1" ht="19.5" customHeight="1" x14ac:dyDescent="0.3">
      <c r="B34" s="232" t="s">
        <v>544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</row>
    <row r="35" spans="1:15" s="232" customFormat="1" ht="19.5" customHeight="1" x14ac:dyDescent="0.3">
      <c r="B35" s="232" t="s">
        <v>739</v>
      </c>
      <c r="D35" s="236">
        <f t="shared" ref="D35:D40" si="2">IF(D17=0,0,D17/D26)</f>
        <v>100</v>
      </c>
      <c r="E35" s="236">
        <f t="shared" ref="E35:O35" si="3">IF(E17=0,0,E17/E26)</f>
        <v>102</v>
      </c>
      <c r="F35" s="236">
        <f t="shared" si="3"/>
        <v>104</v>
      </c>
      <c r="G35" s="236">
        <f t="shared" si="3"/>
        <v>106</v>
      </c>
      <c r="H35" s="236">
        <f t="shared" si="3"/>
        <v>108</v>
      </c>
      <c r="I35" s="236">
        <f t="shared" si="3"/>
        <v>110</v>
      </c>
      <c r="J35" s="236">
        <f t="shared" si="3"/>
        <v>112.33333333333333</v>
      </c>
      <c r="K35" s="236">
        <f t="shared" si="3"/>
        <v>114.66666666666667</v>
      </c>
      <c r="L35" s="236">
        <f t="shared" si="3"/>
        <v>117</v>
      </c>
      <c r="M35" s="236">
        <f t="shared" si="3"/>
        <v>119.33333333333333</v>
      </c>
      <c r="N35" s="236">
        <f t="shared" si="3"/>
        <v>121.66666666666667</v>
      </c>
      <c r="O35" s="236">
        <f t="shared" si="3"/>
        <v>124</v>
      </c>
    </row>
    <row r="36" spans="1:15" s="232" customFormat="1" ht="19.5" customHeight="1" x14ac:dyDescent="0.3">
      <c r="B36" s="232" t="s">
        <v>740</v>
      </c>
      <c r="D36" s="236">
        <f t="shared" si="2"/>
        <v>66.666666666666671</v>
      </c>
      <c r="E36" s="236">
        <f t="shared" ref="E36:O36" si="4">IF(E18=0,0,E18/E27)</f>
        <v>68</v>
      </c>
      <c r="F36" s="236">
        <f t="shared" si="4"/>
        <v>69.333333333333329</v>
      </c>
      <c r="G36" s="236">
        <f t="shared" si="4"/>
        <v>70.666666666666671</v>
      </c>
      <c r="H36" s="236">
        <f t="shared" si="4"/>
        <v>72</v>
      </c>
      <c r="I36" s="236">
        <f t="shared" si="4"/>
        <v>73.333333333333329</v>
      </c>
      <c r="J36" s="236">
        <f t="shared" si="4"/>
        <v>74.666666666666671</v>
      </c>
      <c r="K36" s="236">
        <f t="shared" si="4"/>
        <v>76</v>
      </c>
      <c r="L36" s="236">
        <f t="shared" si="4"/>
        <v>77.666666666666671</v>
      </c>
      <c r="M36" s="236">
        <f t="shared" si="4"/>
        <v>79.333333333333329</v>
      </c>
      <c r="N36" s="236">
        <f t="shared" si="4"/>
        <v>81</v>
      </c>
      <c r="O36" s="236">
        <f t="shared" si="4"/>
        <v>82.666666666666671</v>
      </c>
    </row>
    <row r="37" spans="1:15" s="232" customFormat="1" ht="19.5" customHeight="1" x14ac:dyDescent="0.3">
      <c r="B37" s="232" t="s">
        <v>741</v>
      </c>
      <c r="D37" s="236">
        <f t="shared" si="2"/>
        <v>85</v>
      </c>
      <c r="E37" s="236">
        <f t="shared" ref="E37:O37" si="5">IF(E19=0,0,E19/E28)</f>
        <v>55</v>
      </c>
      <c r="F37" s="236">
        <f t="shared" si="5"/>
        <v>60</v>
      </c>
      <c r="G37" s="236">
        <f t="shared" si="5"/>
        <v>63</v>
      </c>
      <c r="H37" s="236">
        <f t="shared" si="5"/>
        <v>66</v>
      </c>
      <c r="I37" s="236">
        <f t="shared" si="5"/>
        <v>69.5</v>
      </c>
      <c r="J37" s="236">
        <f t="shared" si="5"/>
        <v>73</v>
      </c>
      <c r="K37" s="236">
        <f t="shared" si="5"/>
        <v>76.5</v>
      </c>
      <c r="L37" s="236">
        <f t="shared" si="5"/>
        <v>64.400000000000006</v>
      </c>
      <c r="M37" s="236">
        <f t="shared" si="5"/>
        <v>67.599999999999994</v>
      </c>
      <c r="N37" s="236">
        <f t="shared" si="5"/>
        <v>70.8</v>
      </c>
      <c r="O37" s="236">
        <f t="shared" si="5"/>
        <v>74.400000000000006</v>
      </c>
    </row>
    <row r="38" spans="1:15" s="232" customFormat="1" ht="19.5" customHeight="1" x14ac:dyDescent="0.3">
      <c r="B38" s="232" t="s">
        <v>742</v>
      </c>
      <c r="D38" s="236">
        <f t="shared" si="2"/>
        <v>90</v>
      </c>
      <c r="E38" s="236">
        <f t="shared" ref="E38:O38" si="6">IF(E20=0,0,E20/E29)</f>
        <v>65</v>
      </c>
      <c r="F38" s="236">
        <f t="shared" si="6"/>
        <v>75</v>
      </c>
      <c r="G38" s="236">
        <f t="shared" si="6"/>
        <v>79</v>
      </c>
      <c r="H38" s="236">
        <f t="shared" si="6"/>
        <v>83</v>
      </c>
      <c r="I38" s="236">
        <f t="shared" si="6"/>
        <v>87</v>
      </c>
      <c r="J38" s="236">
        <f t="shared" si="6"/>
        <v>91.5</v>
      </c>
      <c r="K38" s="236">
        <f t="shared" si="6"/>
        <v>76.8</v>
      </c>
      <c r="L38" s="236">
        <f t="shared" si="6"/>
        <v>80.8</v>
      </c>
      <c r="M38" s="236">
        <f t="shared" si="6"/>
        <v>84.8</v>
      </c>
      <c r="N38" s="236">
        <f t="shared" si="6"/>
        <v>89.2</v>
      </c>
      <c r="O38" s="236">
        <f t="shared" si="6"/>
        <v>93.6</v>
      </c>
    </row>
    <row r="39" spans="1:15" s="232" customFormat="1" ht="19.5" customHeight="1" x14ac:dyDescent="0.3">
      <c r="B39" s="232" t="s">
        <v>744</v>
      </c>
      <c r="D39" s="236">
        <f t="shared" si="2"/>
        <v>37.5</v>
      </c>
      <c r="E39" s="236">
        <f t="shared" ref="E39:O39" si="7">IF(E21=0,0,E21/E30)</f>
        <v>52.5</v>
      </c>
      <c r="F39" s="236">
        <f t="shared" si="7"/>
        <v>48</v>
      </c>
      <c r="G39" s="236">
        <f t="shared" si="7"/>
        <v>50.4</v>
      </c>
      <c r="H39" s="236">
        <f t="shared" si="7"/>
        <v>52.8</v>
      </c>
      <c r="I39" s="236">
        <f t="shared" si="7"/>
        <v>55.6</v>
      </c>
      <c r="J39" s="236">
        <f t="shared" si="7"/>
        <v>58.4</v>
      </c>
      <c r="K39" s="236">
        <f t="shared" si="7"/>
        <v>61.2</v>
      </c>
      <c r="L39" s="236">
        <f t="shared" si="7"/>
        <v>64.400000000000006</v>
      </c>
      <c r="M39" s="236">
        <f t="shared" si="7"/>
        <v>56.333333333333336</v>
      </c>
      <c r="N39" s="236">
        <f t="shared" si="7"/>
        <v>59</v>
      </c>
      <c r="O39" s="236">
        <f t="shared" si="7"/>
        <v>62</v>
      </c>
    </row>
    <row r="40" spans="1:15" s="232" customFormat="1" ht="19.5" customHeight="1" x14ac:dyDescent="0.3">
      <c r="B40" s="232" t="s">
        <v>743</v>
      </c>
      <c r="D40" s="236">
        <f t="shared" si="2"/>
        <v>0</v>
      </c>
      <c r="E40" s="236">
        <f t="shared" ref="E40:O40" si="8">IF(E22=0,0,E22/E31)</f>
        <v>0</v>
      </c>
      <c r="F40" s="236">
        <f>IF(F22=0,0,F22/F31)</f>
        <v>90</v>
      </c>
      <c r="G40" s="236">
        <f t="shared" si="8"/>
        <v>65</v>
      </c>
      <c r="H40" s="236">
        <f t="shared" si="8"/>
        <v>75</v>
      </c>
      <c r="I40" s="236">
        <f t="shared" si="8"/>
        <v>79</v>
      </c>
      <c r="J40" s="236">
        <f t="shared" si="8"/>
        <v>83</v>
      </c>
      <c r="K40" s="236">
        <f t="shared" si="8"/>
        <v>87</v>
      </c>
      <c r="L40" s="236">
        <f t="shared" si="8"/>
        <v>91.5</v>
      </c>
      <c r="M40" s="236">
        <f t="shared" si="8"/>
        <v>96</v>
      </c>
      <c r="N40" s="236">
        <f t="shared" si="8"/>
        <v>101</v>
      </c>
      <c r="O40" s="236">
        <f t="shared" si="8"/>
        <v>106</v>
      </c>
    </row>
    <row r="42" spans="1:15" s="250" customFormat="1" ht="23.25" x14ac:dyDescent="0.35">
      <c r="A42" s="250" t="s">
        <v>334</v>
      </c>
      <c r="D42" s="243">
        <f t="shared" ref="D42:O42" si="9">SUM(D52:D57)/D16</f>
        <v>5353.211666666667</v>
      </c>
      <c r="E42" s="243">
        <f t="shared" si="9"/>
        <v>5089.2286359649133</v>
      </c>
      <c r="F42" s="243">
        <f t="shared" si="9"/>
        <v>5121.4782943250002</v>
      </c>
      <c r="G42" s="243">
        <f t="shared" si="9"/>
        <v>5123.8417965564977</v>
      </c>
      <c r="H42" s="243">
        <f t="shared" si="9"/>
        <v>5157.7572285178903</v>
      </c>
      <c r="I42" s="243">
        <f t="shared" si="9"/>
        <v>5187.780290014256</v>
      </c>
      <c r="J42" s="243">
        <f t="shared" si="9"/>
        <v>5230.3411527733933</v>
      </c>
      <c r="K42" s="243">
        <f t="shared" si="9"/>
        <v>5272.9940776804906</v>
      </c>
      <c r="L42" s="243">
        <f t="shared" si="9"/>
        <v>5316.4367714510581</v>
      </c>
      <c r="M42" s="243">
        <f t="shared" si="9"/>
        <v>5359.9523369489161</v>
      </c>
      <c r="N42" s="243">
        <f t="shared" si="9"/>
        <v>5403.1349352720863</v>
      </c>
      <c r="O42" s="243">
        <f t="shared" si="9"/>
        <v>5447.6699339324523</v>
      </c>
    </row>
    <row r="43" spans="1:15" s="232" customFormat="1" ht="19.5" customHeight="1" x14ac:dyDescent="0.3">
      <c r="B43" s="232" t="s">
        <v>739</v>
      </c>
      <c r="D43" s="233">
        <f t="shared" ref="D43:O43" si="10">IF(D17&gt;0,D52/D17,0)</f>
        <v>4736.8999999999996</v>
      </c>
      <c r="E43" s="233">
        <f t="shared" si="10"/>
        <v>4772.4267500000005</v>
      </c>
      <c r="F43" s="233">
        <f t="shared" si="10"/>
        <v>4808.2199506250008</v>
      </c>
      <c r="G43" s="233">
        <f t="shared" si="10"/>
        <v>4844.2816002546879</v>
      </c>
      <c r="H43" s="233">
        <f t="shared" si="10"/>
        <v>4880.6137122565979</v>
      </c>
      <c r="I43" s="233">
        <f t="shared" si="10"/>
        <v>4917.2183150985229</v>
      </c>
      <c r="J43" s="233">
        <f t="shared" si="10"/>
        <v>4954.0974524617623</v>
      </c>
      <c r="K43" s="233">
        <f t="shared" si="10"/>
        <v>4991.2531833552257</v>
      </c>
      <c r="L43" s="233">
        <f t="shared" si="10"/>
        <v>5028.68758223039</v>
      </c>
      <c r="M43" s="233">
        <f t="shared" si="10"/>
        <v>5066.4027390971187</v>
      </c>
      <c r="N43" s="233">
        <f t="shared" si="10"/>
        <v>5104.4007596403471</v>
      </c>
      <c r="O43" s="233">
        <f t="shared" si="10"/>
        <v>5142.6837653376497</v>
      </c>
    </row>
    <row r="44" spans="1:15" s="232" customFormat="1" ht="19.5" customHeight="1" x14ac:dyDescent="0.3">
      <c r="B44" s="232" t="s">
        <v>740</v>
      </c>
      <c r="D44" s="233">
        <f t="shared" ref="D44:O44" si="11">IF(D18&gt;0,D53/D18,0)</f>
        <v>4736.8999999999996</v>
      </c>
      <c r="E44" s="233">
        <f t="shared" si="11"/>
        <v>4772.4267500000005</v>
      </c>
      <c r="F44" s="233">
        <f t="shared" si="11"/>
        <v>4808.2199506249999</v>
      </c>
      <c r="G44" s="233">
        <f t="shared" si="11"/>
        <v>4844.2816002546879</v>
      </c>
      <c r="H44" s="233">
        <f t="shared" si="11"/>
        <v>4880.6137122565988</v>
      </c>
      <c r="I44" s="233">
        <f t="shared" si="11"/>
        <v>4917.2183150985238</v>
      </c>
      <c r="J44" s="233">
        <f t="shared" si="11"/>
        <v>4954.0974524617632</v>
      </c>
      <c r="K44" s="233">
        <f t="shared" si="11"/>
        <v>4991.2531833552257</v>
      </c>
      <c r="L44" s="233">
        <f t="shared" si="11"/>
        <v>5028.68758223039</v>
      </c>
      <c r="M44" s="233">
        <f t="shared" si="11"/>
        <v>5066.4027390971187</v>
      </c>
      <c r="N44" s="233">
        <f t="shared" si="11"/>
        <v>5104.4007596403471</v>
      </c>
      <c r="O44" s="233">
        <f t="shared" si="11"/>
        <v>5142.6837653376506</v>
      </c>
    </row>
    <row r="45" spans="1:15" s="232" customFormat="1" ht="19.5" customHeight="1" x14ac:dyDescent="0.3">
      <c r="B45" s="232" t="s">
        <v>741</v>
      </c>
      <c r="D45" s="233">
        <f t="shared" ref="D45:O45" si="12">IF(D19&gt;0,D54/D19,0)</f>
        <v>4807.25</v>
      </c>
      <c r="E45" s="233">
        <f t="shared" si="12"/>
        <v>4843.3043749999997</v>
      </c>
      <c r="F45" s="233">
        <f t="shared" si="12"/>
        <v>4879.6291578124992</v>
      </c>
      <c r="G45" s="233">
        <f t="shared" si="12"/>
        <v>4916.2263764960944</v>
      </c>
      <c r="H45" s="233">
        <f t="shared" si="12"/>
        <v>4953.0980743198152</v>
      </c>
      <c r="I45" s="233">
        <f t="shared" si="12"/>
        <v>4990.2463098772141</v>
      </c>
      <c r="J45" s="233">
        <f t="shared" si="12"/>
        <v>5027.6731572012941</v>
      </c>
      <c r="K45" s="233">
        <f t="shared" si="12"/>
        <v>5065.3807058803031</v>
      </c>
      <c r="L45" s="233">
        <f t="shared" si="12"/>
        <v>5103.3710611744054</v>
      </c>
      <c r="M45" s="233">
        <f t="shared" si="12"/>
        <v>5141.6463441332144</v>
      </c>
      <c r="N45" s="233">
        <f t="shared" si="12"/>
        <v>5180.2086917142133</v>
      </c>
      <c r="O45" s="233">
        <f t="shared" si="12"/>
        <v>5219.0602569020712</v>
      </c>
    </row>
    <row r="46" spans="1:15" s="232" customFormat="1" ht="19.5" customHeight="1" x14ac:dyDescent="0.3">
      <c r="B46" s="232" t="s">
        <v>742</v>
      </c>
      <c r="D46" s="233">
        <f t="shared" ref="D46:O46" si="13">IF(D20&gt;0,D55/D20,0)</f>
        <v>4924.5</v>
      </c>
      <c r="E46" s="233">
        <f t="shared" si="13"/>
        <v>4914.1820000000007</v>
      </c>
      <c r="F46" s="233">
        <f t="shared" si="13"/>
        <v>4903.4322268750002</v>
      </c>
      <c r="G46" s="233">
        <f t="shared" si="13"/>
        <v>4844.2816002546879</v>
      </c>
      <c r="H46" s="233">
        <f t="shared" si="13"/>
        <v>4880.6137122565979</v>
      </c>
      <c r="I46" s="233">
        <f t="shared" si="13"/>
        <v>4917.2183150985229</v>
      </c>
      <c r="J46" s="233">
        <f t="shared" si="13"/>
        <v>4954.0974524617632</v>
      </c>
      <c r="K46" s="233">
        <f t="shared" si="13"/>
        <v>4991.2531833552266</v>
      </c>
      <c r="L46" s="233">
        <f t="shared" si="13"/>
        <v>5028.68758223039</v>
      </c>
      <c r="M46" s="233">
        <f t="shared" si="13"/>
        <v>5066.4027390971187</v>
      </c>
      <c r="N46" s="233">
        <f t="shared" si="13"/>
        <v>5104.4007596403471</v>
      </c>
      <c r="O46" s="233">
        <f t="shared" si="13"/>
        <v>5142.6837653376506</v>
      </c>
    </row>
    <row r="47" spans="1:15" s="232" customFormat="1" ht="19.5" customHeight="1" x14ac:dyDescent="0.3">
      <c r="B47" s="232" t="s">
        <v>744</v>
      </c>
      <c r="D47" s="233">
        <f>IF(D21&gt;0,D56/D21,0)</f>
        <v>10595.166666666666</v>
      </c>
      <c r="E47" s="233">
        <f t="shared" ref="E47:O47" si="14">IF(E21&gt;0,E56/E21,0)</f>
        <v>7102.3400000000011</v>
      </c>
      <c r="F47" s="233">
        <f t="shared" si="14"/>
        <v>7085.4631812500011</v>
      </c>
      <c r="G47" s="233">
        <f t="shared" si="14"/>
        <v>6997.9222860781265</v>
      </c>
      <c r="H47" s="233">
        <f t="shared" si="14"/>
        <v>7049.8253032237126</v>
      </c>
      <c r="I47" s="233">
        <f t="shared" si="14"/>
        <v>7102.1175929978908</v>
      </c>
      <c r="J47" s="233">
        <f t="shared" si="14"/>
        <v>7154.8020749453763</v>
      </c>
      <c r="K47" s="233">
        <f t="shared" si="14"/>
        <v>7207.8816905074655</v>
      </c>
      <c r="L47" s="233">
        <f t="shared" si="14"/>
        <v>7261.3594031862713</v>
      </c>
      <c r="M47" s="233">
        <f t="shared" si="14"/>
        <v>7315.2381987101689</v>
      </c>
      <c r="N47" s="233">
        <f t="shared" si="14"/>
        <v>7369.5210852004975</v>
      </c>
      <c r="O47" s="233">
        <f t="shared" si="14"/>
        <v>7424.2110933394997</v>
      </c>
    </row>
    <row r="48" spans="1:15" s="232" customFormat="1" ht="19.5" customHeight="1" x14ac:dyDescent="0.3">
      <c r="B48" s="232" t="s">
        <v>743</v>
      </c>
      <c r="D48" s="233">
        <f>IF(D22&gt;0,D57/D22,0)</f>
        <v>0</v>
      </c>
      <c r="E48" s="233">
        <f t="shared" ref="E48:O48" si="15">IF(E22&gt;0,E57/E22,0)</f>
        <v>0</v>
      </c>
      <c r="F48" s="233">
        <f t="shared" si="15"/>
        <v>4998.6445031250005</v>
      </c>
      <c r="G48" s="233">
        <f t="shared" si="15"/>
        <v>4988.1711527375001</v>
      </c>
      <c r="H48" s="233">
        <f t="shared" si="15"/>
        <v>4977.2595283408864</v>
      </c>
      <c r="I48" s="233">
        <f t="shared" si="15"/>
        <v>4917.2183150985229</v>
      </c>
      <c r="J48" s="233">
        <f t="shared" si="15"/>
        <v>4954.0974524617632</v>
      </c>
      <c r="K48" s="233">
        <f t="shared" si="15"/>
        <v>4991.2531833552257</v>
      </c>
      <c r="L48" s="233">
        <f t="shared" si="15"/>
        <v>5028.68758223039</v>
      </c>
      <c r="M48" s="233">
        <f t="shared" si="15"/>
        <v>5066.4027390971178</v>
      </c>
      <c r="N48" s="233">
        <f t="shared" si="15"/>
        <v>5104.4007596403471</v>
      </c>
      <c r="O48" s="233">
        <f t="shared" si="15"/>
        <v>5142.6837653376506</v>
      </c>
    </row>
    <row r="49" spans="1:15" x14ac:dyDescent="0.25">
      <c r="B49" s="158"/>
      <c r="C49" s="158"/>
    </row>
    <row r="50" spans="1:15" s="250" customFormat="1" ht="23.25" x14ac:dyDescent="0.35">
      <c r="A50" s="250" t="s">
        <v>287</v>
      </c>
      <c r="D50" s="243">
        <f>SUM(D51:D57)</f>
        <v>4014908.75</v>
      </c>
      <c r="E50" s="243">
        <f t="shared" ref="E50:O50" si="16">SUM(E51:E57)</f>
        <v>4351290.4837500006</v>
      </c>
      <c r="F50" s="243">
        <f t="shared" si="16"/>
        <v>5121478.2943250006</v>
      </c>
      <c r="G50" s="243">
        <f t="shared" si="16"/>
        <v>5482510.7223154521</v>
      </c>
      <c r="H50" s="243">
        <f t="shared" si="16"/>
        <v>5776688.0959400367</v>
      </c>
      <c r="I50" s="243">
        <f t="shared" si="16"/>
        <v>6017825.1364165368</v>
      </c>
      <c r="J50" s="243">
        <f t="shared" si="16"/>
        <v>6286870.0656336192</v>
      </c>
      <c r="K50" s="243">
        <f t="shared" si="16"/>
        <v>6559604.6326345298</v>
      </c>
      <c r="L50" s="243">
        <f t="shared" si="16"/>
        <v>6863519.8719433164</v>
      </c>
      <c r="M50" s="243">
        <f t="shared" si="16"/>
        <v>7171616.2268376499</v>
      </c>
      <c r="N50" s="243">
        <f t="shared" si="16"/>
        <v>7494148.1552223833</v>
      </c>
      <c r="O50" s="243">
        <f t="shared" si="16"/>
        <v>7833749.3649948668</v>
      </c>
    </row>
    <row r="51" spans="1:15" s="232" customFormat="1" ht="19.5" customHeight="1" x14ac:dyDescent="0.3">
      <c r="B51" s="232" t="s">
        <v>332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</row>
    <row r="52" spans="1:15" s="232" customFormat="1" ht="19.5" customHeight="1" x14ac:dyDescent="0.3">
      <c r="B52" s="232" t="s">
        <v>739</v>
      </c>
      <c r="D52" s="233">
        <f>'School Rollup'!Q21</f>
        <v>1421070</v>
      </c>
      <c r="E52" s="233">
        <f>'School Rollup'!R21</f>
        <v>1460362.5855</v>
      </c>
      <c r="F52" s="233">
        <f>'School Rollup'!S21</f>
        <v>1500164.6245950002</v>
      </c>
      <c r="G52" s="233">
        <f>'School Rollup'!T21</f>
        <v>1540481.5488809908</v>
      </c>
      <c r="H52" s="233">
        <f>'School Rollup'!U21</f>
        <v>1581318.8427711378</v>
      </c>
      <c r="I52" s="233">
        <f>'School Rollup'!V21</f>
        <v>1622682.0439825126</v>
      </c>
      <c r="J52" s="233">
        <f>'School Rollup'!W21</f>
        <v>1669530.8414796139</v>
      </c>
      <c r="K52" s="233">
        <f>'School Rollup'!X21</f>
        <v>1716991.0950741977</v>
      </c>
      <c r="L52" s="233">
        <f>'School Rollup'!Y21</f>
        <v>1765069.341362867</v>
      </c>
      <c r="M52" s="233">
        <f>'School Rollup'!Z21</f>
        <v>1813772.1805967684</v>
      </c>
      <c r="N52" s="233">
        <f>'School Rollup'!AA21</f>
        <v>1863106.2772687266</v>
      </c>
      <c r="O52" s="233">
        <f>'School Rollup'!AB21</f>
        <v>1913078.3607056057</v>
      </c>
    </row>
    <row r="53" spans="1:15" s="232" customFormat="1" ht="19.5" customHeight="1" x14ac:dyDescent="0.3">
      <c r="B53" s="232" t="s">
        <v>740</v>
      </c>
      <c r="D53" s="233">
        <f>'School Rollup'!AD21</f>
        <v>947379.99999999988</v>
      </c>
      <c r="E53" s="233">
        <f>'School Rollup'!AE21</f>
        <v>973575.05700000003</v>
      </c>
      <c r="F53" s="233">
        <f>'School Rollup'!AF21</f>
        <v>1000109.74973</v>
      </c>
      <c r="G53" s="233">
        <f>'School Rollup'!AG21</f>
        <v>1026987.6992539939</v>
      </c>
      <c r="H53" s="233">
        <f>'School Rollup'!AH21</f>
        <v>1054212.5618474253</v>
      </c>
      <c r="I53" s="233">
        <f>'School Rollup'!AI21</f>
        <v>1081788.0293216752</v>
      </c>
      <c r="J53" s="233">
        <f>'School Rollup'!AJ21</f>
        <v>1109717.8293514349</v>
      </c>
      <c r="K53" s="233">
        <f>'School Rollup'!AK21</f>
        <v>1138005.7258049916</v>
      </c>
      <c r="L53" s="233">
        <f>'School Rollup'!AL21</f>
        <v>1171684.2066596809</v>
      </c>
      <c r="M53" s="233">
        <f>'School Rollup'!AM21</f>
        <v>1205803.8519051143</v>
      </c>
      <c r="N53" s="233">
        <f>'School Rollup'!AN21</f>
        <v>1240369.3845926044</v>
      </c>
      <c r="O53" s="233">
        <f>'School Rollup'!AO21</f>
        <v>1275385.5738037373</v>
      </c>
    </row>
    <row r="54" spans="1:15" s="232" customFormat="1" ht="19.5" customHeight="1" x14ac:dyDescent="0.3">
      <c r="B54" s="232" t="s">
        <v>741</v>
      </c>
      <c r="D54" s="233">
        <f>'School Rollup'!AQ21</f>
        <v>408616.25</v>
      </c>
      <c r="E54" s="233">
        <f>'School Rollup'!AR21</f>
        <v>532763.48124999995</v>
      </c>
      <c r="F54" s="233">
        <f>'School Rollup'!AS21</f>
        <v>585555.49893749994</v>
      </c>
      <c r="G54" s="233">
        <f>'School Rollup'!AT21</f>
        <v>619444.52343850792</v>
      </c>
      <c r="H54" s="233">
        <f>'School Rollup'!AU21</f>
        <v>653808.94581021555</v>
      </c>
      <c r="I54" s="233">
        <f>'School Rollup'!AV21</f>
        <v>693644.23707293277</v>
      </c>
      <c r="J54" s="233">
        <f>'School Rollup'!AW21</f>
        <v>734040.28095138888</v>
      </c>
      <c r="K54" s="233">
        <f>'School Rollup'!AX21</f>
        <v>775003.2479996864</v>
      </c>
      <c r="L54" s="233">
        <f>'School Rollup'!AY21</f>
        <v>821642.74084907933</v>
      </c>
      <c r="M54" s="233">
        <f>'School Rollup'!AZ21</f>
        <v>868938.23215851327</v>
      </c>
      <c r="N54" s="233">
        <f>'School Rollup'!BA21</f>
        <v>916896.93843341572</v>
      </c>
      <c r="O54" s="233">
        <f>'School Rollup'!BB21</f>
        <v>970745.20778378518</v>
      </c>
    </row>
    <row r="55" spans="1:15" s="232" customFormat="1" ht="19.5" customHeight="1" x14ac:dyDescent="0.3">
      <c r="B55" s="232" t="s">
        <v>742</v>
      </c>
      <c r="D55" s="233">
        <f>'School Rollup'!BD21</f>
        <v>443205</v>
      </c>
      <c r="E55" s="233">
        <f>'School Rollup'!BE21</f>
        <v>638843.66</v>
      </c>
      <c r="F55" s="233">
        <f>'School Rollup'!BF21</f>
        <v>735514.83403125009</v>
      </c>
      <c r="G55" s="233">
        <f>'School Rollup'!BG21</f>
        <v>765396.49284024071</v>
      </c>
      <c r="H55" s="233">
        <f>'School Rollup'!BH21</f>
        <v>810181.87623459531</v>
      </c>
      <c r="I55" s="233">
        <f>'School Rollup'!BI21</f>
        <v>855595.986827143</v>
      </c>
      <c r="J55" s="233">
        <f>'School Rollup'!BJ21</f>
        <v>906599.83380050259</v>
      </c>
      <c r="K55" s="233">
        <f>'School Rollup'!BK21</f>
        <v>958320.61120420345</v>
      </c>
      <c r="L55" s="233">
        <f>'School Rollup'!BL21</f>
        <v>1015794.8916105388</v>
      </c>
      <c r="M55" s="233">
        <f>'School Rollup'!BM21</f>
        <v>1074077.3806885891</v>
      </c>
      <c r="N55" s="233">
        <f>'School Rollup'!BN21</f>
        <v>1138281.3693997974</v>
      </c>
      <c r="O55" s="233">
        <f>'School Rollup'!BO21</f>
        <v>1203388.0010890102</v>
      </c>
    </row>
    <row r="56" spans="1:15" s="232" customFormat="1" ht="19.5" customHeight="1" x14ac:dyDescent="0.3">
      <c r="B56" s="232" t="s">
        <v>744</v>
      </c>
      <c r="D56" s="233">
        <f>'School Rollup'!BQ21</f>
        <v>794637.5</v>
      </c>
      <c r="E56" s="233">
        <f>'School Rollup'!BR21</f>
        <v>745745.70000000007</v>
      </c>
      <c r="F56" s="233">
        <f>'School Rollup'!BS21</f>
        <v>850255.58175000013</v>
      </c>
      <c r="G56" s="233">
        <f>'School Rollup'!BT21</f>
        <v>881738.20804584399</v>
      </c>
      <c r="H56" s="233">
        <f>'School Rollup'!BU21</f>
        <v>930576.94002553006</v>
      </c>
      <c r="I56" s="233">
        <f>'School Rollup'!BV21</f>
        <v>987194.34542670683</v>
      </c>
      <c r="J56" s="233">
        <f>'School Rollup'!BW21</f>
        <v>1044601.1029420249</v>
      </c>
      <c r="K56" s="233">
        <f>'School Rollup'!BX21</f>
        <v>1102805.8986476422</v>
      </c>
      <c r="L56" s="233">
        <f>'School Rollup'!BY21</f>
        <v>1169078.8639129896</v>
      </c>
      <c r="M56" s="233">
        <f>'School Rollup'!BZ21</f>
        <v>1236275.2555820185</v>
      </c>
      <c r="N56" s="233">
        <f>'School Rollup'!CA21</f>
        <v>1304405.232080488</v>
      </c>
      <c r="O56" s="233">
        <f>'School Rollup'!CB21</f>
        <v>1380903.2633611469</v>
      </c>
    </row>
    <row r="57" spans="1:15" s="232" customFormat="1" ht="19.5" customHeight="1" x14ac:dyDescent="0.3">
      <c r="B57" s="232" t="s">
        <v>743</v>
      </c>
      <c r="D57" s="233">
        <f>'School Rollup'!CD21</f>
        <v>0</v>
      </c>
      <c r="E57" s="233">
        <f>'School Rollup'!CE21</f>
        <v>0</v>
      </c>
      <c r="F57" s="233">
        <f>'School Rollup'!CF21</f>
        <v>449878.00528125005</v>
      </c>
      <c r="G57" s="233">
        <f>'School Rollup'!CG21</f>
        <v>648462.24985587504</v>
      </c>
      <c r="H57" s="233">
        <f>'School Rollup'!CH21</f>
        <v>746588.929251133</v>
      </c>
      <c r="I57" s="233">
        <f>'School Rollup'!CI21</f>
        <v>776920.49378556665</v>
      </c>
      <c r="J57" s="233">
        <f>'School Rollup'!CJ21</f>
        <v>822380.17710865266</v>
      </c>
      <c r="K57" s="233">
        <f>'School Rollup'!CK21</f>
        <v>868478.05390380928</v>
      </c>
      <c r="L57" s="233">
        <f>'School Rollup'!CL21</f>
        <v>920249.82754816138</v>
      </c>
      <c r="M57" s="233">
        <f>'School Rollup'!CM21</f>
        <v>972749.32590664667</v>
      </c>
      <c r="N57" s="233">
        <f>'School Rollup'!CN21</f>
        <v>1031088.9534473501</v>
      </c>
      <c r="O57" s="233">
        <f>'School Rollup'!CO21</f>
        <v>1090248.958251582</v>
      </c>
    </row>
    <row r="58" spans="1:15" x14ac:dyDescent="0.25">
      <c r="B58" s="158"/>
      <c r="C58" s="158"/>
    </row>
    <row r="59" spans="1:15" s="251" customFormat="1" ht="23.25" x14ac:dyDescent="0.35">
      <c r="A59" s="250" t="s">
        <v>335</v>
      </c>
      <c r="D59" s="243">
        <f>D69/D16</f>
        <v>6771.6083641200003</v>
      </c>
      <c r="E59" s="243">
        <f t="shared" ref="E59:O59" si="17">E69/E16</f>
        <v>6419.5735286260297</v>
      </c>
      <c r="F59" s="243">
        <f t="shared" si="17"/>
        <v>6245.2995042371604</v>
      </c>
      <c r="G59" s="243">
        <f t="shared" si="17"/>
        <v>6237.290781525996</v>
      </c>
      <c r="H59" s="243">
        <f t="shared" si="17"/>
        <v>6238.5282063961358</v>
      </c>
      <c r="I59" s="243">
        <f t="shared" si="17"/>
        <v>6268.5329913901887</v>
      </c>
      <c r="J59" s="243">
        <f t="shared" si="17"/>
        <v>6235.5373292795111</v>
      </c>
      <c r="K59" s="243">
        <f t="shared" si="17"/>
        <v>6269.4312670328072</v>
      </c>
      <c r="L59" s="243">
        <f t="shared" si="17"/>
        <v>6312.0652800733269</v>
      </c>
      <c r="M59" s="243">
        <f t="shared" si="17"/>
        <v>6405.2056030223757</v>
      </c>
      <c r="N59" s="243">
        <f t="shared" si="17"/>
        <v>6378.4751392076087</v>
      </c>
      <c r="O59" s="243">
        <f t="shared" si="17"/>
        <v>6352.3749827119545</v>
      </c>
    </row>
    <row r="60" spans="1:15" x14ac:dyDescent="0.25">
      <c r="B60" s="158"/>
      <c r="C60" s="158"/>
    </row>
    <row r="61" spans="1:15" s="251" customFormat="1" ht="23.25" x14ac:dyDescent="0.35">
      <c r="A61" s="250" t="s">
        <v>336</v>
      </c>
      <c r="B61" s="250"/>
      <c r="C61" s="250"/>
      <c r="D61" s="243">
        <f>SUM(D71:D76)/D16</f>
        <v>5034.5543024533326</v>
      </c>
      <c r="E61" s="243">
        <f t="shared" ref="E61:O61" si="18">SUM(E71:E76)/E16</f>
        <v>4855.0847891430412</v>
      </c>
      <c r="F61" s="243">
        <f t="shared" si="18"/>
        <v>4870.0700658565002</v>
      </c>
      <c r="G61" s="243">
        <f t="shared" si="18"/>
        <v>4923.4403100275231</v>
      </c>
      <c r="H61" s="243">
        <f t="shared" si="18"/>
        <v>4945.2759111942878</v>
      </c>
      <c r="I61" s="243">
        <f t="shared" si="18"/>
        <v>4986.0759769515898</v>
      </c>
      <c r="J61" s="243">
        <f t="shared" si="18"/>
        <v>4975.4710207341859</v>
      </c>
      <c r="K61" s="243">
        <f t="shared" si="18"/>
        <v>5027.606291957095</v>
      </c>
      <c r="L61" s="243">
        <f t="shared" si="18"/>
        <v>5091.3806672794544</v>
      </c>
      <c r="M61" s="243">
        <f t="shared" si="18"/>
        <v>5189.1925976116172</v>
      </c>
      <c r="N61" s="243">
        <f t="shared" si="18"/>
        <v>5189.4383927315457</v>
      </c>
      <c r="O61" s="243">
        <f t="shared" si="18"/>
        <v>5183.0721082439395</v>
      </c>
    </row>
    <row r="62" spans="1:15" s="232" customFormat="1" ht="19.5" customHeight="1" x14ac:dyDescent="0.3">
      <c r="B62" s="232" t="s">
        <v>739</v>
      </c>
      <c r="D62" s="233">
        <f>IF(D17&gt;0,D71/D17,0)</f>
        <v>4282.1747827999998</v>
      </c>
      <c r="E62" s="233">
        <f t="shared" ref="E62:O62" si="19">IF(E17&gt;0,E71/E17,0)</f>
        <v>4277.0818050385624</v>
      </c>
      <c r="F62" s="233">
        <f t="shared" si="19"/>
        <v>4281.3129173280449</v>
      </c>
      <c r="G62" s="233">
        <f t="shared" si="19"/>
        <v>4412.4693752358262</v>
      </c>
      <c r="H62" s="233">
        <f t="shared" si="19"/>
        <v>4472.7624790767513</v>
      </c>
      <c r="I62" s="233">
        <f t="shared" si="19"/>
        <v>4563.3824683616358</v>
      </c>
      <c r="J62" s="233">
        <f t="shared" si="19"/>
        <v>4563.2218041235874</v>
      </c>
      <c r="K62" s="233">
        <f t="shared" si="19"/>
        <v>4613.479657147147</v>
      </c>
      <c r="L62" s="233">
        <f t="shared" si="19"/>
        <v>4664.1453999328078</v>
      </c>
      <c r="M62" s="233">
        <f t="shared" si="19"/>
        <v>4773.8659929425721</v>
      </c>
      <c r="N62" s="233">
        <f t="shared" si="19"/>
        <v>4780.3486913413562</v>
      </c>
      <c r="O62" s="233">
        <f t="shared" si="19"/>
        <v>4818.468285132958</v>
      </c>
    </row>
    <row r="63" spans="1:15" s="232" customFormat="1" ht="19.5" customHeight="1" x14ac:dyDescent="0.3">
      <c r="B63" s="232" t="s">
        <v>740</v>
      </c>
      <c r="D63" s="233">
        <f t="shared" ref="D63:O63" si="20">IF(D18&gt;0,D72/D18,0)</f>
        <v>4507.9218900000005</v>
      </c>
      <c r="E63" s="233">
        <f t="shared" si="20"/>
        <v>4642.4956899362742</v>
      </c>
      <c r="F63" s="233">
        <f t="shared" si="20"/>
        <v>4640.0552021754811</v>
      </c>
      <c r="G63" s="233">
        <f t="shared" si="20"/>
        <v>4701.1518814185301</v>
      </c>
      <c r="H63" s="233">
        <f t="shared" si="20"/>
        <v>4757.3534700020591</v>
      </c>
      <c r="I63" s="233">
        <f t="shared" si="20"/>
        <v>4831.6409688267868</v>
      </c>
      <c r="J63" s="233">
        <f t="shared" si="20"/>
        <v>4829.2824535884665</v>
      </c>
      <c r="K63" s="233">
        <f t="shared" si="20"/>
        <v>4879.3385945637528</v>
      </c>
      <c r="L63" s="233">
        <f t="shared" si="20"/>
        <v>4919.0757169104545</v>
      </c>
      <c r="M63" s="233">
        <f t="shared" si="20"/>
        <v>5022.4098237075432</v>
      </c>
      <c r="N63" s="233">
        <f t="shared" si="20"/>
        <v>5020.7941924919987</v>
      </c>
      <c r="O63" s="233">
        <f t="shared" si="20"/>
        <v>5037.8511952992867</v>
      </c>
    </row>
    <row r="64" spans="1:15" s="232" customFormat="1" ht="19.5" customHeight="1" x14ac:dyDescent="0.3">
      <c r="B64" s="232" t="s">
        <v>741</v>
      </c>
      <c r="D64" s="233">
        <f t="shared" ref="D64:O64" si="21">IF(D19&gt;0,D73/D19,0)</f>
        <v>4562.0308705882353</v>
      </c>
      <c r="E64" s="233">
        <f t="shared" si="21"/>
        <v>4848.4433857227277</v>
      </c>
      <c r="F64" s="233">
        <f t="shared" si="21"/>
        <v>4708.9904476531246</v>
      </c>
      <c r="G64" s="233">
        <f t="shared" si="21"/>
        <v>4729.0803084725358</v>
      </c>
      <c r="H64" s="233">
        <f t="shared" si="21"/>
        <v>4740.7612617722216</v>
      </c>
      <c r="I64" s="233">
        <f t="shared" si="21"/>
        <v>4742.2855399160744</v>
      </c>
      <c r="J64" s="233">
        <f t="shared" si="21"/>
        <v>4687.0220593185722</v>
      </c>
      <c r="K64" s="233">
        <f t="shared" si="21"/>
        <v>4687.3590846165562</v>
      </c>
      <c r="L64" s="233">
        <f t="shared" si="21"/>
        <v>4990.9292444515804</v>
      </c>
      <c r="M64" s="233">
        <f t="shared" si="21"/>
        <v>5049.3097978707228</v>
      </c>
      <c r="N64" s="233">
        <f t="shared" si="21"/>
        <v>5008.2524141616823</v>
      </c>
      <c r="O64" s="233">
        <f t="shared" si="21"/>
        <v>4970.8569182629026</v>
      </c>
    </row>
    <row r="65" spans="1:15" s="232" customFormat="1" ht="19.5" customHeight="1" x14ac:dyDescent="0.3">
      <c r="B65" s="232" t="s">
        <v>742</v>
      </c>
      <c r="D65" s="233">
        <f t="shared" ref="D65:O65" si="22">IF(D20&gt;0,D74/D20,0)</f>
        <v>4912.9002388888885</v>
      </c>
      <c r="E65" s="233">
        <f t="shared" si="22"/>
        <v>4862.3083178230772</v>
      </c>
      <c r="F65" s="233">
        <f t="shared" si="22"/>
        <v>4665.078082945417</v>
      </c>
      <c r="G65" s="233">
        <f t="shared" si="22"/>
        <v>4669.9172504367416</v>
      </c>
      <c r="H65" s="233">
        <f t="shared" si="22"/>
        <v>4675.2629033134162</v>
      </c>
      <c r="I65" s="233">
        <f t="shared" si="22"/>
        <v>4693.6585799743361</v>
      </c>
      <c r="J65" s="233">
        <f t="shared" si="22"/>
        <v>4642.2063314804327</v>
      </c>
      <c r="K65" s="233">
        <f t="shared" si="22"/>
        <v>4894.8228555704518</v>
      </c>
      <c r="L65" s="233">
        <f t="shared" si="22"/>
        <v>4883.0686675677334</v>
      </c>
      <c r="M65" s="233">
        <f t="shared" si="22"/>
        <v>4941.1029841907621</v>
      </c>
      <c r="N65" s="233">
        <f t="shared" si="22"/>
        <v>4891.3960852166256</v>
      </c>
      <c r="O65" s="233">
        <f t="shared" si="22"/>
        <v>4868.4390866806525</v>
      </c>
    </row>
    <row r="66" spans="1:15" s="232" customFormat="1" ht="19.5" customHeight="1" x14ac:dyDescent="0.3">
      <c r="B66" s="232" t="s">
        <v>744</v>
      </c>
      <c r="D66" s="233">
        <f>IF(D21&gt;0,D75/D21,0)</f>
        <v>10129.936913333333</v>
      </c>
      <c r="E66" s="233">
        <f t="shared" ref="E66:O66" si="23">IF(E21&gt;0,E75/E21,0)</f>
        <v>6950.5951226857132</v>
      </c>
      <c r="F66" s="233">
        <f t="shared" si="23"/>
        <v>7120.5709500595849</v>
      </c>
      <c r="G66" s="233">
        <f t="shared" si="23"/>
        <v>7052.6657239398091</v>
      </c>
      <c r="H66" s="233">
        <f t="shared" si="23"/>
        <v>7080.7869914855455</v>
      </c>
      <c r="I66" s="233">
        <f t="shared" si="23"/>
        <v>7020.188145455666</v>
      </c>
      <c r="J66" s="233">
        <f t="shared" si="23"/>
        <v>7008.7981778217936</v>
      </c>
      <c r="K66" s="233">
        <f t="shared" si="23"/>
        <v>6958.195151735802</v>
      </c>
      <c r="L66" s="233">
        <f t="shared" si="23"/>
        <v>6983.3939402167462</v>
      </c>
      <c r="M66" s="233">
        <f t="shared" si="23"/>
        <v>7217.5130767162045</v>
      </c>
      <c r="N66" s="233">
        <f t="shared" si="23"/>
        <v>7218.9666687612553</v>
      </c>
      <c r="O66" s="233">
        <f t="shared" si="23"/>
        <v>7177.1816337849004</v>
      </c>
    </row>
    <row r="67" spans="1:15" s="232" customFormat="1" ht="19.5" customHeight="1" x14ac:dyDescent="0.3">
      <c r="B67" s="232" t="s">
        <v>743</v>
      </c>
      <c r="D67" s="233">
        <f>IF(D22&gt;0,D76/D22,0)</f>
        <v>0</v>
      </c>
      <c r="E67" s="233">
        <f t="shared" ref="E67:O67" si="24">IF(E22&gt;0,E76/E22,0)</f>
        <v>0</v>
      </c>
      <c r="F67" s="233">
        <f t="shared" si="24"/>
        <v>4998.443038114583</v>
      </c>
      <c r="G67" s="233">
        <f t="shared" si="24"/>
        <v>4968.6518914674516</v>
      </c>
      <c r="H67" s="233">
        <f t="shared" si="24"/>
        <v>4836.0507761082572</v>
      </c>
      <c r="I67" s="233">
        <f t="shared" si="24"/>
        <v>4830.9523441797792</v>
      </c>
      <c r="J67" s="233">
        <f t="shared" si="24"/>
        <v>4842.3953978651443</v>
      </c>
      <c r="K67" s="233">
        <f t="shared" si="24"/>
        <v>4788.737006574911</v>
      </c>
      <c r="L67" s="233">
        <f t="shared" si="24"/>
        <v>4783.9719150871078</v>
      </c>
      <c r="M67" s="233">
        <f t="shared" si="24"/>
        <v>4782.058508514976</v>
      </c>
      <c r="N67" s="233">
        <f t="shared" si="24"/>
        <v>4840.948935261561</v>
      </c>
      <c r="O67" s="233">
        <f t="shared" si="24"/>
        <v>4776.6531895610278</v>
      </c>
    </row>
    <row r="68" spans="1:15" x14ac:dyDescent="0.25">
      <c r="B68" s="158"/>
      <c r="C68" s="158"/>
    </row>
    <row r="69" spans="1:15" s="251" customFormat="1" ht="23.25" x14ac:dyDescent="0.35">
      <c r="A69" s="250" t="s">
        <v>337</v>
      </c>
      <c r="B69" s="250"/>
      <c r="C69" s="250"/>
      <c r="D69" s="243">
        <f>SUM(D70:D76)</f>
        <v>5078706.2730900003</v>
      </c>
      <c r="E69" s="243">
        <f t="shared" ref="E69:O69" si="25">SUM(E70:E76)</f>
        <v>5488735.3669752553</v>
      </c>
      <c r="F69" s="243">
        <f t="shared" si="25"/>
        <v>6245299.5042371601</v>
      </c>
      <c r="G69" s="243">
        <f t="shared" si="25"/>
        <v>6673901.1362328157</v>
      </c>
      <c r="H69" s="243">
        <f t="shared" si="25"/>
        <v>6987151.5911636725</v>
      </c>
      <c r="I69" s="243">
        <f t="shared" si="25"/>
        <v>7271498.270012619</v>
      </c>
      <c r="J69" s="243">
        <f t="shared" si="25"/>
        <v>7495115.869793972</v>
      </c>
      <c r="K69" s="243">
        <f t="shared" si="25"/>
        <v>7799172.496188812</v>
      </c>
      <c r="L69" s="243">
        <f t="shared" si="25"/>
        <v>8148876.2765746647</v>
      </c>
      <c r="M69" s="243">
        <f t="shared" si="25"/>
        <v>8570165.0968439393</v>
      </c>
      <c r="N69" s="243">
        <f t="shared" si="25"/>
        <v>8846945.0180809535</v>
      </c>
      <c r="O69" s="243">
        <f t="shared" si="25"/>
        <v>9134715.2251397911</v>
      </c>
    </row>
    <row r="70" spans="1:15" s="232" customFormat="1" ht="19.5" customHeight="1" x14ac:dyDescent="0.3">
      <c r="B70" s="232" t="s">
        <v>332</v>
      </c>
      <c r="D70" s="330">
        <f>'Organizational Rollup'!AD156</f>
        <v>1302790.5462500001</v>
      </c>
      <c r="E70" s="330">
        <f>'Organizational Rollup'!AE156</f>
        <v>1337637.8722579549</v>
      </c>
      <c r="F70" s="330">
        <f>'Organizational Rollup'!AF156</f>
        <v>1375229.43838066</v>
      </c>
      <c r="G70" s="330">
        <f>'Organizational Rollup'!AG156</f>
        <v>1405820.0045033651</v>
      </c>
      <c r="H70" s="330">
        <f>'Organizational Rollup'!AH156</f>
        <v>1448442.5706260703</v>
      </c>
      <c r="I70" s="330">
        <f>'Organizational Rollup'!AI156</f>
        <v>1487650.1367487751</v>
      </c>
      <c r="J70" s="330">
        <f>'Organizational Rollup'!AJ156</f>
        <v>1514599.70287148</v>
      </c>
      <c r="K70" s="330">
        <f>'Organizational Rollup'!AK156</f>
        <v>1544830.2689941854</v>
      </c>
      <c r="L70" s="330">
        <f>'Organizational Rollup'!AL156</f>
        <v>1575903.83511689</v>
      </c>
      <c r="M70" s="330">
        <f>'Organizational Rollup'!AM156</f>
        <v>1627025.4012395951</v>
      </c>
      <c r="N70" s="330">
        <f>'Organizational Rollup'!AN156</f>
        <v>1649193.9673623</v>
      </c>
      <c r="O70" s="330">
        <f>'Organizational Rollup'!AO156</f>
        <v>1681457.5334850051</v>
      </c>
    </row>
    <row r="71" spans="1:15" s="232" customFormat="1" ht="19.5" customHeight="1" x14ac:dyDescent="0.3">
      <c r="B71" s="232" t="s">
        <v>739</v>
      </c>
      <c r="D71" s="233">
        <f>'School Rollup'!Q156</f>
        <v>1284652.43484</v>
      </c>
      <c r="E71" s="233">
        <f>'School Rollup'!R156</f>
        <v>1308787.0323418002</v>
      </c>
      <c r="F71" s="233">
        <f>'School Rollup'!S156</f>
        <v>1335769.63020635</v>
      </c>
      <c r="G71" s="233">
        <f>'School Rollup'!T156</f>
        <v>1403165.2613249929</v>
      </c>
      <c r="H71" s="233">
        <f>'School Rollup'!U156</f>
        <v>1449175.0432208674</v>
      </c>
      <c r="I71" s="233">
        <f>'School Rollup'!V156</f>
        <v>1505916.2145593399</v>
      </c>
      <c r="J71" s="233">
        <f>'School Rollup'!W156</f>
        <v>1537805.747989649</v>
      </c>
      <c r="K71" s="233">
        <f>'School Rollup'!X156</f>
        <v>1587037.0020586185</v>
      </c>
      <c r="L71" s="233">
        <f>'School Rollup'!Y156</f>
        <v>1637115.0353764156</v>
      </c>
      <c r="M71" s="233">
        <f>'School Rollup'!Z156</f>
        <v>1709044.0254734408</v>
      </c>
      <c r="N71" s="233">
        <f>'School Rollup'!AA156</f>
        <v>1744827.272339595</v>
      </c>
      <c r="O71" s="233">
        <f>'School Rollup'!AB156</f>
        <v>1792470.2020694604</v>
      </c>
    </row>
    <row r="72" spans="1:15" s="232" customFormat="1" ht="19.5" customHeight="1" x14ac:dyDescent="0.3">
      <c r="B72" s="232" t="s">
        <v>740</v>
      </c>
      <c r="D72" s="233">
        <f>'School Rollup'!AD156</f>
        <v>901584.37800000003</v>
      </c>
      <c r="E72" s="233">
        <f>'School Rollup'!AE156</f>
        <v>947069.12074699998</v>
      </c>
      <c r="F72" s="233">
        <f>'School Rollup'!AF156</f>
        <v>965131.48205250013</v>
      </c>
      <c r="G72" s="233">
        <f>'School Rollup'!AG156</f>
        <v>996644.19886072841</v>
      </c>
      <c r="H72" s="233">
        <f>'School Rollup'!AH156</f>
        <v>1027588.3495204448</v>
      </c>
      <c r="I72" s="233">
        <f>'School Rollup'!AI156</f>
        <v>1062961.0131418931</v>
      </c>
      <c r="J72" s="233">
        <f>'School Rollup'!AJ156</f>
        <v>1081759.2696038166</v>
      </c>
      <c r="K72" s="233">
        <f>'School Rollup'!AK156</f>
        <v>1112489.1995605356</v>
      </c>
      <c r="L72" s="233">
        <f>'School Rollup'!AL156</f>
        <v>1146144.6420401358</v>
      </c>
      <c r="M72" s="233">
        <f>'School Rollup'!AM156</f>
        <v>1195333.5380423954</v>
      </c>
      <c r="N72" s="233">
        <f>'School Rollup'!AN156</f>
        <v>1220052.9887755557</v>
      </c>
      <c r="O72" s="233">
        <f>'School Rollup'!AO156</f>
        <v>1249387.096434223</v>
      </c>
    </row>
    <row r="73" spans="1:15" s="232" customFormat="1" ht="19.5" customHeight="1" x14ac:dyDescent="0.3">
      <c r="B73" s="232" t="s">
        <v>741</v>
      </c>
      <c r="D73" s="233">
        <f>'School Rollup'!AQ156</f>
        <v>387772.62400000001</v>
      </c>
      <c r="E73" s="233">
        <f>'School Rollup'!AR156</f>
        <v>533328.77242950001</v>
      </c>
      <c r="F73" s="233">
        <f>'School Rollup'!AS156</f>
        <v>565078.85371837497</v>
      </c>
      <c r="G73" s="233">
        <f>'School Rollup'!AT156</f>
        <v>595864.11886753945</v>
      </c>
      <c r="H73" s="233">
        <f>'School Rollup'!AU156</f>
        <v>625780.48655393324</v>
      </c>
      <c r="I73" s="233">
        <f>'School Rollup'!AV156</f>
        <v>659177.69004833431</v>
      </c>
      <c r="J73" s="233">
        <f>'School Rollup'!AW156</f>
        <v>684305.22066051152</v>
      </c>
      <c r="K73" s="233">
        <f>'School Rollup'!AX156</f>
        <v>717165.93994633306</v>
      </c>
      <c r="L73" s="233">
        <f>'School Rollup'!AY156</f>
        <v>803539.60835670447</v>
      </c>
      <c r="M73" s="233">
        <f>'School Rollup'!AZ156</f>
        <v>853333.35584015213</v>
      </c>
      <c r="N73" s="233">
        <f>'School Rollup'!BA156</f>
        <v>886460.67730661784</v>
      </c>
      <c r="O73" s="233">
        <f>'School Rollup'!BB156</f>
        <v>924579.38679689984</v>
      </c>
    </row>
    <row r="74" spans="1:15" s="232" customFormat="1" ht="19.5" customHeight="1" x14ac:dyDescent="0.3">
      <c r="B74" s="232" t="s">
        <v>742</v>
      </c>
      <c r="D74" s="233">
        <f>'School Rollup'!BD156</f>
        <v>442161.02149999997</v>
      </c>
      <c r="E74" s="233">
        <f>'School Rollup'!BE156</f>
        <v>632100.08131700009</v>
      </c>
      <c r="F74" s="233">
        <f>'School Rollup'!BF156</f>
        <v>699761.7124418125</v>
      </c>
      <c r="G74" s="233">
        <f>'School Rollup'!BG156</f>
        <v>737846.92556900519</v>
      </c>
      <c r="H74" s="233">
        <f>'School Rollup'!BH156</f>
        <v>776093.64195002709</v>
      </c>
      <c r="I74" s="233">
        <f>'School Rollup'!BI156</f>
        <v>816696.59291553451</v>
      </c>
      <c r="J74" s="233">
        <f>'School Rollup'!BJ156</f>
        <v>849523.75866091927</v>
      </c>
      <c r="K74" s="233">
        <f>'School Rollup'!BK156</f>
        <v>939805.98826952674</v>
      </c>
      <c r="L74" s="233">
        <f>'School Rollup'!BL156</f>
        <v>986379.87084868224</v>
      </c>
      <c r="M74" s="233">
        <f>'School Rollup'!BM156</f>
        <v>1047513.8326484415</v>
      </c>
      <c r="N74" s="233">
        <f>'School Rollup'!BN156</f>
        <v>1090781.3270033074</v>
      </c>
      <c r="O74" s="233">
        <f>'School Rollup'!BO156</f>
        <v>1139214.7462832727</v>
      </c>
    </row>
    <row r="75" spans="1:15" s="232" customFormat="1" ht="19.5" customHeight="1" x14ac:dyDescent="0.3">
      <c r="B75" s="232" t="s">
        <v>744</v>
      </c>
      <c r="D75" s="233">
        <f>'School Rollup'!BQ156</f>
        <v>759745.26850000001</v>
      </c>
      <c r="E75" s="233">
        <f>'School Rollup'!BR156</f>
        <v>729812.48788199993</v>
      </c>
      <c r="F75" s="233">
        <f>'School Rollup'!BS156</f>
        <v>854468.5140071502</v>
      </c>
      <c r="G75" s="233">
        <f>'School Rollup'!BT156</f>
        <v>888635.8812164159</v>
      </c>
      <c r="H75" s="233">
        <f>'School Rollup'!BU156</f>
        <v>934663.88287609199</v>
      </c>
      <c r="I75" s="233">
        <f>'School Rollup'!BV156</f>
        <v>975806.15221833764</v>
      </c>
      <c r="J75" s="233">
        <f>'School Rollup'!BW156</f>
        <v>1023284.5339619819</v>
      </c>
      <c r="K75" s="233">
        <f>'School Rollup'!BX156</f>
        <v>1064603.8582155777</v>
      </c>
      <c r="L75" s="233">
        <f>'School Rollup'!BY156</f>
        <v>1124326.4243748961</v>
      </c>
      <c r="M75" s="233">
        <f>'School Rollup'!BZ156</f>
        <v>1219759.7099650386</v>
      </c>
      <c r="N75" s="233">
        <f>'School Rollup'!CA156</f>
        <v>1277757.1003707421</v>
      </c>
      <c r="O75" s="233">
        <f>'School Rollup'!CB156</f>
        <v>1334955.7838839914</v>
      </c>
    </row>
    <row r="76" spans="1:15" s="232" customFormat="1" ht="19.5" customHeight="1" x14ac:dyDescent="0.3">
      <c r="B76" s="232" t="s">
        <v>743</v>
      </c>
      <c r="D76" s="233">
        <f>'School Rollup'!CD156</f>
        <v>0</v>
      </c>
      <c r="E76" s="233">
        <f>'School Rollup'!CE156</f>
        <v>0</v>
      </c>
      <c r="F76" s="233">
        <f>'School Rollup'!CF156</f>
        <v>449859.87343031249</v>
      </c>
      <c r="G76" s="233">
        <f>'School Rollup'!CG156</f>
        <v>645924.74589076871</v>
      </c>
      <c r="H76" s="233">
        <f>'School Rollup'!CH156</f>
        <v>725407.6164162386</v>
      </c>
      <c r="I76" s="233">
        <f>'School Rollup'!CI156</f>
        <v>763290.47038040508</v>
      </c>
      <c r="J76" s="233">
        <f>'School Rollup'!CJ156</f>
        <v>803837.63604561402</v>
      </c>
      <c r="K76" s="233">
        <f>'School Rollup'!CK156</f>
        <v>833240.23914403445</v>
      </c>
      <c r="L76" s="233">
        <f>'School Rollup'!CL156</f>
        <v>875466.86046094075</v>
      </c>
      <c r="M76" s="233">
        <f>'School Rollup'!CM156</f>
        <v>918155.23363487539</v>
      </c>
      <c r="N76" s="233">
        <f>'School Rollup'!CN156</f>
        <v>977871.68492283532</v>
      </c>
      <c r="O76" s="233">
        <f>'School Rollup'!CO156</f>
        <v>1012650.4761869379</v>
      </c>
    </row>
    <row r="77" spans="1:15" x14ac:dyDescent="0.25">
      <c r="B77" s="158"/>
      <c r="C77" s="15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s="251" customFormat="1" ht="23.25" x14ac:dyDescent="0.35">
      <c r="A78" s="250" t="s">
        <v>338</v>
      </c>
      <c r="C78" s="243"/>
      <c r="D78" s="241">
        <f>SUM(D79:D85)</f>
        <v>1384706.2269099995</v>
      </c>
      <c r="E78" s="241">
        <f t="shared" ref="E78:O78" si="26">SUM(E79:E85)</f>
        <v>2087704.812434745</v>
      </c>
      <c r="F78" s="241">
        <f t="shared" si="26"/>
        <v>3130876.9367225859</v>
      </c>
      <c r="G78" s="241">
        <f t="shared" si="26"/>
        <v>4262656.6581916651</v>
      </c>
      <c r="H78" s="241">
        <f t="shared" si="26"/>
        <v>5498677.3940819046</v>
      </c>
      <c r="I78" s="241">
        <f t="shared" si="26"/>
        <v>6790217.7248237627</v>
      </c>
      <c r="J78" s="241">
        <f t="shared" si="26"/>
        <v>8237924.1338424133</v>
      </c>
      <c r="K78" s="241">
        <f t="shared" si="26"/>
        <v>9766525.9007339478</v>
      </c>
      <c r="L78" s="241">
        <f t="shared" si="26"/>
        <v>11374157.777003778</v>
      </c>
      <c r="M78" s="241">
        <f t="shared" si="26"/>
        <v>12995089.018781651</v>
      </c>
      <c r="N78" s="241">
        <f t="shared" si="26"/>
        <v>14794481.220608037</v>
      </c>
      <c r="O78" s="241">
        <f t="shared" si="26"/>
        <v>16784702.595600199</v>
      </c>
    </row>
    <row r="79" spans="1:15" s="229" customFormat="1" ht="19.5" customHeight="1" x14ac:dyDescent="0.3">
      <c r="B79" s="229" t="s">
        <v>332</v>
      </c>
      <c r="C79" s="231"/>
      <c r="D79" s="231">
        <f>'Organizational Rollup'!AD162</f>
        <v>809713.20374999987</v>
      </c>
      <c r="E79" s="231">
        <f>'Organizational Rollup'!AE162</f>
        <v>1312518.8002420452</v>
      </c>
      <c r="F79" s="231">
        <f>'Organizational Rollup'!AF162</f>
        <v>2104282.6960613858</v>
      </c>
      <c r="G79" s="231">
        <f>'Organizational Rollup'!AG162</f>
        <v>3021632.8269444634</v>
      </c>
      <c r="H79" s="231">
        <f>'Organizational Rollup'!AH162</f>
        <v>4019674.4874322694</v>
      </c>
      <c r="I79" s="231">
        <f>'Organizational Rollup'!AI162</f>
        <v>5077237.8150214348</v>
      </c>
      <c r="J79" s="231">
        <f>'Organizational Rollup'!AJ162</f>
        <v>6218590.3253289592</v>
      </c>
      <c r="K79" s="231">
        <f>'Organizational Rollup'!AK162</f>
        <v>7441929.6867805906</v>
      </c>
      <c r="L79" s="231">
        <f>'Organizational Rollup'!AL162</f>
        <v>8759014.13256488</v>
      </c>
      <c r="M79" s="231">
        <f>'Organizational Rollup'!AM162</f>
        <v>10151468.843109446</v>
      </c>
      <c r="N79" s="231">
        <f>'Organizational Rollup'!AN162</f>
        <v>11654463.940432103</v>
      </c>
      <c r="O79" s="231">
        <f>'Organizational Rollup'!AO162</f>
        <v>13264193.642084179</v>
      </c>
    </row>
    <row r="80" spans="1:15" s="229" customFormat="1" ht="19.5" customHeight="1" x14ac:dyDescent="0.3">
      <c r="B80" s="232" t="s">
        <v>739</v>
      </c>
      <c r="C80" s="231"/>
      <c r="D80" s="231">
        <f>'School Rollup'!Q162</f>
        <v>376417.56516</v>
      </c>
      <c r="E80" s="231">
        <f>'School Rollup'!R162</f>
        <v>527993.11831819988</v>
      </c>
      <c r="F80" s="231">
        <f>'School Rollup'!S162</f>
        <v>692388.11270685005</v>
      </c>
      <c r="G80" s="231">
        <f>'School Rollup'!T162</f>
        <v>829704.40026284801</v>
      </c>
      <c r="H80" s="231">
        <f>'School Rollup'!U162</f>
        <v>961848.19981311844</v>
      </c>
      <c r="I80" s="231">
        <f>'School Rollup'!V162</f>
        <v>1078614.0292362911</v>
      </c>
      <c r="J80" s="231">
        <f>'School Rollup'!W162</f>
        <v>1210339.122726256</v>
      </c>
      <c r="K80" s="231">
        <f>'School Rollup'!X162</f>
        <v>1340293.2157418353</v>
      </c>
      <c r="L80" s="231">
        <f>'School Rollup'!Y162</f>
        <v>1468247.5217282868</v>
      </c>
      <c r="M80" s="231">
        <f>'School Rollup'!Z162</f>
        <v>1572975.6768516144</v>
      </c>
      <c r="N80" s="231">
        <f>'School Rollup'!AA162</f>
        <v>1691254.681780746</v>
      </c>
      <c r="O80" s="231">
        <f>'School Rollup'!AB162</f>
        <v>1811862.8404168913</v>
      </c>
    </row>
    <row r="81" spans="1:15" s="229" customFormat="1" ht="19.5" customHeight="1" x14ac:dyDescent="0.3">
      <c r="B81" s="232" t="s">
        <v>740</v>
      </c>
      <c r="C81" s="231"/>
      <c r="D81" s="231">
        <f>'School Rollup'!AD162</f>
        <v>137795.62199999986</v>
      </c>
      <c r="E81" s="231">
        <f>'School Rollup'!AE162</f>
        <v>164301.55825299991</v>
      </c>
      <c r="F81" s="231">
        <f>'School Rollup'!AF162</f>
        <v>199279.82593049982</v>
      </c>
      <c r="G81" s="231">
        <f>'School Rollup'!AG162</f>
        <v>229623.32632376533</v>
      </c>
      <c r="H81" s="231">
        <f>'School Rollup'!AH162</f>
        <v>256247.53865074588</v>
      </c>
      <c r="I81" s="231">
        <f>'School Rollup'!AI162</f>
        <v>275074.55483052798</v>
      </c>
      <c r="J81" s="231">
        <f>'School Rollup'!AJ162</f>
        <v>303033.11457814637</v>
      </c>
      <c r="K81" s="231">
        <f>'School Rollup'!AK162</f>
        <v>328549.64082260232</v>
      </c>
      <c r="L81" s="231">
        <f>'School Rollup'!AL162</f>
        <v>354089.20544214745</v>
      </c>
      <c r="M81" s="231">
        <f>'School Rollup'!AM162</f>
        <v>364559.51930486632</v>
      </c>
      <c r="N81" s="231">
        <f>'School Rollup'!AN162</f>
        <v>384875.91512191494</v>
      </c>
      <c r="O81" s="231">
        <f>'School Rollup'!AO162</f>
        <v>410874.39249142923</v>
      </c>
    </row>
    <row r="82" spans="1:15" s="229" customFormat="1" ht="19.5" customHeight="1" x14ac:dyDescent="0.3">
      <c r="B82" s="232" t="s">
        <v>741</v>
      </c>
      <c r="C82" s="231"/>
      <c r="D82" s="231">
        <f>'School Rollup'!AQ162</f>
        <v>24843.625999999989</v>
      </c>
      <c r="E82" s="231">
        <f>'School Rollup'!AR162</f>
        <v>24278.334820499935</v>
      </c>
      <c r="F82" s="231">
        <f>'School Rollup'!AS162</f>
        <v>44754.980039624905</v>
      </c>
      <c r="G82" s="231">
        <f>'School Rollup'!AT162</f>
        <v>68335.384610593377</v>
      </c>
      <c r="H82" s="231">
        <f>'School Rollup'!AU162</f>
        <v>96363.843866875686</v>
      </c>
      <c r="I82" s="231">
        <f>'School Rollup'!AV162</f>
        <v>130830.39089147415</v>
      </c>
      <c r="J82" s="231">
        <f>'School Rollup'!AW162</f>
        <v>180565.45118235151</v>
      </c>
      <c r="K82" s="231">
        <f>'School Rollup'!AX162</f>
        <v>238402.75923570484</v>
      </c>
      <c r="L82" s="231">
        <f>'School Rollup'!AY162</f>
        <v>256505.8917280797</v>
      </c>
      <c r="M82" s="231">
        <f>'School Rollup'!AZ162</f>
        <v>272110.76804644085</v>
      </c>
      <c r="N82" s="231">
        <f>'School Rollup'!BA162</f>
        <v>302547.02917323873</v>
      </c>
      <c r="O82" s="231">
        <f>'School Rollup'!BB162</f>
        <v>348712.85016012407</v>
      </c>
    </row>
    <row r="83" spans="1:15" s="229" customFormat="1" ht="19.5" customHeight="1" x14ac:dyDescent="0.3">
      <c r="B83" s="232" t="s">
        <v>742</v>
      </c>
      <c r="C83" s="231"/>
      <c r="D83" s="233">
        <f>'School Rollup'!BD162</f>
        <v>1043.9785000000265</v>
      </c>
      <c r="E83" s="233">
        <f>'School Rollup'!BE162</f>
        <v>7787.5571829999681</v>
      </c>
      <c r="F83" s="233">
        <f>'School Rollup'!BF162</f>
        <v>43540.678772437561</v>
      </c>
      <c r="G83" s="233">
        <f>'School Rollup'!BG162</f>
        <v>71090.246043673076</v>
      </c>
      <c r="H83" s="233">
        <f>'School Rollup'!BH162</f>
        <v>105178.4803282413</v>
      </c>
      <c r="I83" s="233">
        <f>'School Rollup'!BI162</f>
        <v>144077.8742398498</v>
      </c>
      <c r="J83" s="233">
        <f>'School Rollup'!BJ162</f>
        <v>201153.94937943312</v>
      </c>
      <c r="K83" s="233">
        <f>'School Rollup'!BK162</f>
        <v>219668.57231410983</v>
      </c>
      <c r="L83" s="233">
        <f>'School Rollup'!BL162</f>
        <v>249083.5930759664</v>
      </c>
      <c r="M83" s="233">
        <f>'School Rollup'!BM162</f>
        <v>275647.14111611393</v>
      </c>
      <c r="N83" s="233">
        <f>'School Rollup'!BN162</f>
        <v>323147.18351260392</v>
      </c>
      <c r="O83" s="233">
        <f>'School Rollup'!BO162</f>
        <v>387320.43831834133</v>
      </c>
    </row>
    <row r="84" spans="1:15" s="229" customFormat="1" ht="19.5" customHeight="1" x14ac:dyDescent="0.3">
      <c r="B84" s="232" t="s">
        <v>744</v>
      </c>
      <c r="C84" s="231"/>
      <c r="D84" s="233">
        <f>'School Rollup'!BQ162</f>
        <v>34892.231499999994</v>
      </c>
      <c r="E84" s="233">
        <f>'School Rollup'!BR162</f>
        <v>50825.443618000136</v>
      </c>
      <c r="F84" s="233">
        <f>'School Rollup'!BS162</f>
        <v>46612.511360850069</v>
      </c>
      <c r="G84" s="233">
        <f>'School Rollup'!BT162</f>
        <v>39714.838190278155</v>
      </c>
      <c r="H84" s="233">
        <f>'School Rollup'!BU162</f>
        <v>35627.895339716226</v>
      </c>
      <c r="I84" s="233">
        <f>'School Rollup'!BV162</f>
        <v>47016.088548085419</v>
      </c>
      <c r="J84" s="233">
        <f>'School Rollup'!BW162</f>
        <v>68332.657528128475</v>
      </c>
      <c r="K84" s="233">
        <f>'School Rollup'!BX162</f>
        <v>106534.69796019304</v>
      </c>
      <c r="L84" s="233">
        <f>'School Rollup'!BY162</f>
        <v>151287.13749828655</v>
      </c>
      <c r="M84" s="233">
        <f>'School Rollup'!BZ162</f>
        <v>167802.6831152665</v>
      </c>
      <c r="N84" s="233">
        <f>'School Rollup'!CA162</f>
        <v>194450.81482501235</v>
      </c>
      <c r="O84" s="233">
        <f>'School Rollup'!CB162</f>
        <v>240398.29430216784</v>
      </c>
    </row>
    <row r="85" spans="1:15" s="229" customFormat="1" ht="19.5" customHeight="1" x14ac:dyDescent="0.3">
      <c r="B85" s="232" t="s">
        <v>743</v>
      </c>
      <c r="C85" s="231"/>
      <c r="D85" s="233">
        <f>'School Rollup'!CD162</f>
        <v>0</v>
      </c>
      <c r="E85" s="233">
        <f>'School Rollup'!CE162</f>
        <v>0</v>
      </c>
      <c r="F85" s="233">
        <f>'School Rollup'!CF162</f>
        <v>18.13185093755601</v>
      </c>
      <c r="G85" s="233">
        <f>'School Rollup'!CG162</f>
        <v>2555.6358160438831</v>
      </c>
      <c r="H85" s="233">
        <f>'School Rollup'!CH162</f>
        <v>23736.948650938284</v>
      </c>
      <c r="I85" s="233">
        <f>'School Rollup'!CI162</f>
        <v>37366.972056099854</v>
      </c>
      <c r="J85" s="233">
        <f>'School Rollup'!CJ162</f>
        <v>55909.513119138486</v>
      </c>
      <c r="K85" s="233">
        <f>'School Rollup'!CK162</f>
        <v>91147.327878913318</v>
      </c>
      <c r="L85" s="233">
        <f>'School Rollup'!CL162</f>
        <v>135930.29496613395</v>
      </c>
      <c r="M85" s="233">
        <f>'School Rollup'!CM162</f>
        <v>190524.38723790523</v>
      </c>
      <c r="N85" s="233">
        <f>'School Rollup'!CN162</f>
        <v>243741.65576241998</v>
      </c>
      <c r="O85" s="233">
        <f>'School Rollup'!CO162</f>
        <v>321340.13782706409</v>
      </c>
    </row>
    <row r="86" spans="1:15" x14ac:dyDescent="0.25">
      <c r="B86" s="158"/>
      <c r="C86" s="158"/>
      <c r="D86" s="48"/>
    </row>
    <row r="87" spans="1:15" s="251" customFormat="1" ht="23.25" x14ac:dyDescent="0.35">
      <c r="A87" s="250" t="s">
        <v>339</v>
      </c>
      <c r="C87" s="243"/>
      <c r="D87" s="241">
        <f>SUM(D88:D94)</f>
        <v>548706.22690999974</v>
      </c>
      <c r="E87" s="241">
        <f t="shared" ref="E87:O87" si="27">SUM(E88:E94)</f>
        <v>702998.58552474529</v>
      </c>
      <c r="F87" s="241">
        <f t="shared" si="27"/>
        <v>1043172.1242878409</v>
      </c>
      <c r="G87" s="241">
        <f t="shared" si="27"/>
        <v>1131779.7214690794</v>
      </c>
      <c r="H87" s="241">
        <f t="shared" si="27"/>
        <v>1236020.7358902399</v>
      </c>
      <c r="I87" s="241">
        <f t="shared" si="27"/>
        <v>1291540.3307418576</v>
      </c>
      <c r="J87" s="241">
        <f t="shared" si="27"/>
        <v>1447706.4090186507</v>
      </c>
      <c r="K87" s="241">
        <f t="shared" si="27"/>
        <v>1528601.7668915358</v>
      </c>
      <c r="L87" s="241">
        <f t="shared" si="27"/>
        <v>1607631.8762698323</v>
      </c>
      <c r="M87" s="241">
        <f t="shared" si="27"/>
        <v>1620931.2417778729</v>
      </c>
      <c r="N87" s="241">
        <f t="shared" si="27"/>
        <v>1799392.2018263869</v>
      </c>
      <c r="O87" s="241">
        <f t="shared" si="27"/>
        <v>1990221.3749921585</v>
      </c>
    </row>
    <row r="88" spans="1:15" s="228" customFormat="1" ht="19.5" customHeight="1" x14ac:dyDescent="0.3">
      <c r="B88" s="229" t="s">
        <v>332</v>
      </c>
      <c r="C88" s="230"/>
      <c r="D88" s="231">
        <f>'Organizational Rollup'!AD157</f>
        <v>309713.20374999987</v>
      </c>
      <c r="E88" s="231">
        <f>'Organizational Rollup'!AE157</f>
        <v>502805.59649204533</v>
      </c>
      <c r="F88" s="231">
        <f>'Organizational Rollup'!AF157</f>
        <v>791763.89581934083</v>
      </c>
      <c r="G88" s="231">
        <f>'Organizational Rollup'!AG157</f>
        <v>917350.13088307763</v>
      </c>
      <c r="H88" s="231">
        <f>'Organizational Rollup'!AH157</f>
        <v>998041.66048780596</v>
      </c>
      <c r="I88" s="231">
        <f>'Organizational Rollup'!AI157</f>
        <v>1057563.3275891652</v>
      </c>
      <c r="J88" s="231">
        <f>'Organizational Rollup'!AJ157</f>
        <v>1141352.5103075248</v>
      </c>
      <c r="K88" s="231">
        <f>'Organizational Rollup'!AK157</f>
        <v>1223339.3614516312</v>
      </c>
      <c r="L88" s="231">
        <f>'Organizational Rollup'!AL157</f>
        <v>1317084.4457842901</v>
      </c>
      <c r="M88" s="231">
        <f>'Organizational Rollup'!AM157</f>
        <v>1392454.7105445664</v>
      </c>
      <c r="N88" s="231">
        <f>'Organizational Rollup'!AN157</f>
        <v>1502995.0973226582</v>
      </c>
      <c r="O88" s="231">
        <f>'Organizational Rollup'!AO157</f>
        <v>1609729.7016520766</v>
      </c>
    </row>
    <row r="89" spans="1:15" s="228" customFormat="1" ht="19.5" customHeight="1" x14ac:dyDescent="0.3">
      <c r="B89" s="232" t="s">
        <v>739</v>
      </c>
      <c r="C89" s="230"/>
      <c r="D89" s="231">
        <f>'School Rollup'!Q157</f>
        <v>136417.56516</v>
      </c>
      <c r="E89" s="231">
        <f>'School Rollup'!R157</f>
        <v>151575.55315819988</v>
      </c>
      <c r="F89" s="231">
        <f>'School Rollup'!S157</f>
        <v>164394.99438865017</v>
      </c>
      <c r="G89" s="231">
        <f>'School Rollup'!T157</f>
        <v>137316.28755599796</v>
      </c>
      <c r="H89" s="231">
        <f>'School Rollup'!U157</f>
        <v>132143.79955027043</v>
      </c>
      <c r="I89" s="231">
        <f>'School Rollup'!V157</f>
        <v>116765.82942317263</v>
      </c>
      <c r="J89" s="231">
        <f>'School Rollup'!W157</f>
        <v>131725.09348996496</v>
      </c>
      <c r="K89" s="231">
        <f>'School Rollup'!X157</f>
        <v>129954.09301557927</v>
      </c>
      <c r="L89" s="231">
        <f>'School Rollup'!Y157</f>
        <v>127954.30598645145</v>
      </c>
      <c r="M89" s="231">
        <f>'School Rollup'!Z157</f>
        <v>104728.15512332763</v>
      </c>
      <c r="N89" s="231">
        <f>'School Rollup'!AA157</f>
        <v>118279.0049291316</v>
      </c>
      <c r="O89" s="231">
        <f>'School Rollup'!AB157</f>
        <v>120608.15863614529</v>
      </c>
    </row>
    <row r="90" spans="1:15" s="228" customFormat="1" ht="19.5" customHeight="1" x14ac:dyDescent="0.3">
      <c r="B90" s="232" t="s">
        <v>740</v>
      </c>
      <c r="C90" s="230"/>
      <c r="D90" s="231">
        <f>'School Rollup'!AD157</f>
        <v>45795.621999999858</v>
      </c>
      <c r="E90" s="231">
        <f>'School Rollup'!AE157</f>
        <v>26505.936253000051</v>
      </c>
      <c r="F90" s="231">
        <f>'School Rollup'!AF157</f>
        <v>34978.267677499913</v>
      </c>
      <c r="G90" s="231">
        <f>'School Rollup'!AG157</f>
        <v>30343.500393265509</v>
      </c>
      <c r="H90" s="231">
        <f>'School Rollup'!AH157</f>
        <v>26624.212326980545</v>
      </c>
      <c r="I90" s="231">
        <f>'School Rollup'!AI157</f>
        <v>18827.016179782106</v>
      </c>
      <c r="J90" s="231">
        <f>'School Rollup'!AJ157</f>
        <v>27958.55974761839</v>
      </c>
      <c r="K90" s="231">
        <f>'School Rollup'!AK157</f>
        <v>25516.526244455948</v>
      </c>
      <c r="L90" s="231">
        <f>'School Rollup'!AL157</f>
        <v>25539.564619545126</v>
      </c>
      <c r="M90" s="231">
        <f>'School Rollup'!AM157</f>
        <v>10470.313862718875</v>
      </c>
      <c r="N90" s="231">
        <f>'School Rollup'!AN157</f>
        <v>20316.395817048615</v>
      </c>
      <c r="O90" s="231">
        <f>'School Rollup'!AO157</f>
        <v>25998.477369514294</v>
      </c>
    </row>
    <row r="91" spans="1:15" s="228" customFormat="1" ht="19.5" customHeight="1" x14ac:dyDescent="0.3">
      <c r="B91" s="232" t="s">
        <v>741</v>
      </c>
      <c r="C91" s="230"/>
      <c r="D91" s="231">
        <f>'School Rollup'!AQ157</f>
        <v>20843.625999999989</v>
      </c>
      <c r="E91" s="231">
        <f>'School Rollup'!AR157</f>
        <v>-565.29117950005457</v>
      </c>
      <c r="F91" s="231">
        <f>'School Rollup'!AS157</f>
        <v>20476.64521912497</v>
      </c>
      <c r="G91" s="231">
        <f>'School Rollup'!AT157</f>
        <v>23580.404570968472</v>
      </c>
      <c r="H91" s="231">
        <f>'School Rollup'!AU157</f>
        <v>28028.459256282309</v>
      </c>
      <c r="I91" s="231">
        <f>'School Rollup'!AV157</f>
        <v>34466.547024598462</v>
      </c>
      <c r="J91" s="231">
        <f>'School Rollup'!AW157</f>
        <v>49735.060290877358</v>
      </c>
      <c r="K91" s="231">
        <f>'School Rollup'!AX157</f>
        <v>57837.308053353336</v>
      </c>
      <c r="L91" s="231">
        <f>'School Rollup'!AY157</f>
        <v>18103.132492374862</v>
      </c>
      <c r="M91" s="231">
        <f>'School Rollup'!AZ157</f>
        <v>15604.876318361145</v>
      </c>
      <c r="N91" s="231">
        <f>'School Rollup'!BA157</f>
        <v>30436.261126797879</v>
      </c>
      <c r="O91" s="231">
        <f>'School Rollup'!BB157</f>
        <v>46165.820986885345</v>
      </c>
    </row>
    <row r="92" spans="1:15" s="228" customFormat="1" ht="19.5" customHeight="1" x14ac:dyDescent="0.3">
      <c r="B92" s="232" t="s">
        <v>742</v>
      </c>
      <c r="C92" s="230"/>
      <c r="D92" s="231">
        <f>'School Rollup'!BD157</f>
        <v>1043.9785000000265</v>
      </c>
      <c r="E92" s="231">
        <f>'School Rollup'!BE157</f>
        <v>6743.5786829999415</v>
      </c>
      <c r="F92" s="231">
        <f>'School Rollup'!BF157</f>
        <v>35753.121589437593</v>
      </c>
      <c r="G92" s="231">
        <f>'School Rollup'!BG157</f>
        <v>27549.567271235515</v>
      </c>
      <c r="H92" s="231">
        <f>'School Rollup'!BH157</f>
        <v>34088.234284568229</v>
      </c>
      <c r="I92" s="231">
        <f>'School Rollup'!BI157</f>
        <v>38899.393911608495</v>
      </c>
      <c r="J92" s="231">
        <f>'School Rollup'!BJ157</f>
        <v>57076.075139583321</v>
      </c>
      <c r="K92" s="231">
        <f>'School Rollup'!BK157</f>
        <v>18514.622934676707</v>
      </c>
      <c r="L92" s="231">
        <f>'School Rollup'!BL157</f>
        <v>29415.020761856576</v>
      </c>
      <c r="M92" s="231">
        <f>'School Rollup'!BM157</f>
        <v>26563.548040147522</v>
      </c>
      <c r="N92" s="231">
        <f>'School Rollup'!BN157</f>
        <v>47500.042396489996</v>
      </c>
      <c r="O92" s="231">
        <f>'School Rollup'!BO157</f>
        <v>64173.254805737408</v>
      </c>
    </row>
    <row r="93" spans="1:15" s="228" customFormat="1" ht="19.5" customHeight="1" x14ac:dyDescent="0.3">
      <c r="B93" s="232" t="s">
        <v>744</v>
      </c>
      <c r="C93" s="230"/>
      <c r="D93" s="231">
        <f>'School Rollup'!BQ157</f>
        <v>34892.231499999994</v>
      </c>
      <c r="E93" s="231">
        <f>'School Rollup'!BR157</f>
        <v>15933.212118000141</v>
      </c>
      <c r="F93" s="231">
        <f>'School Rollup'!BS157</f>
        <v>-4212.932257150067</v>
      </c>
      <c r="G93" s="231">
        <f>'School Rollup'!BT157</f>
        <v>-6897.6731705719139</v>
      </c>
      <c r="H93" s="231">
        <f>'School Rollup'!BU157</f>
        <v>-4086.9428505619289</v>
      </c>
      <c r="I93" s="231">
        <f>'School Rollup'!BV157</f>
        <v>11388.193208369194</v>
      </c>
      <c r="J93" s="231">
        <f>'School Rollup'!BW157</f>
        <v>21316.568980043055</v>
      </c>
      <c r="K93" s="231">
        <f>'School Rollup'!BX157</f>
        <v>38202.040432064561</v>
      </c>
      <c r="L93" s="231">
        <f>'School Rollup'!BY157</f>
        <v>44752.439538093517</v>
      </c>
      <c r="M93" s="231">
        <f>'School Rollup'!BZ157</f>
        <v>16515.545616979944</v>
      </c>
      <c r="N93" s="231">
        <f>'School Rollup'!CA157</f>
        <v>26648.131709745852</v>
      </c>
      <c r="O93" s="231">
        <f>'School Rollup'!CB157</f>
        <v>45947.479477155488</v>
      </c>
    </row>
    <row r="94" spans="1:15" s="228" customFormat="1" ht="19.5" customHeight="1" x14ac:dyDescent="0.3">
      <c r="B94" s="232" t="s">
        <v>743</v>
      </c>
      <c r="C94" s="230"/>
      <c r="D94" s="233">
        <f>'School Rollup'!CD157</f>
        <v>0</v>
      </c>
      <c r="E94" s="233">
        <f>'School Rollup'!CE157</f>
        <v>0</v>
      </c>
      <c r="F94" s="233">
        <f>'School Rollup'!CF157</f>
        <v>18.13185093755601</v>
      </c>
      <c r="G94" s="233">
        <f>'School Rollup'!CG157</f>
        <v>2537.5039651063271</v>
      </c>
      <c r="H94" s="233">
        <f>'School Rollup'!CH157</f>
        <v>21181.312834894401</v>
      </c>
      <c r="I94" s="233">
        <f>'School Rollup'!CI157</f>
        <v>13630.02340516157</v>
      </c>
      <c r="J94" s="233">
        <f>'School Rollup'!CJ157</f>
        <v>18542.541063038632</v>
      </c>
      <c r="K94" s="233">
        <f>'School Rollup'!CK157</f>
        <v>35237.814759774832</v>
      </c>
      <c r="L94" s="233">
        <f>'School Rollup'!CL157</f>
        <v>44782.967087220633</v>
      </c>
      <c r="M94" s="233">
        <f>'School Rollup'!CM157</f>
        <v>54594.092271771282</v>
      </c>
      <c r="N94" s="233">
        <f>'School Rollup'!CN157</f>
        <v>53217.268524514744</v>
      </c>
      <c r="O94" s="233">
        <f>'School Rollup'!CO157</f>
        <v>77598.482064644108</v>
      </c>
    </row>
    <row r="95" spans="1:15" x14ac:dyDescent="0.25">
      <c r="B95" s="158"/>
      <c r="C95" s="158"/>
    </row>
    <row r="96" spans="1:15" s="251" customFormat="1" ht="23.25" x14ac:dyDescent="0.35">
      <c r="A96" s="336" t="s">
        <v>551</v>
      </c>
      <c r="B96" s="336"/>
      <c r="C96" s="243"/>
      <c r="D96" s="241">
        <f t="shared" ref="D96:N96" si="28">IF(D78=0,0,D78/(D69/365))</f>
        <v>99.517031630703499</v>
      </c>
      <c r="E96" s="241">
        <f t="shared" si="28"/>
        <v>138.8320269772112</v>
      </c>
      <c r="F96" s="241">
        <f t="shared" si="28"/>
        <v>182.98082920257465</v>
      </c>
      <c r="G96" s="241">
        <f t="shared" si="28"/>
        <v>233.12746899906759</v>
      </c>
      <c r="H96" s="241">
        <f t="shared" si="28"/>
        <v>287.24398242312031</v>
      </c>
      <c r="I96" s="241">
        <f t="shared" si="28"/>
        <v>340.84165017017494</v>
      </c>
      <c r="J96" s="241">
        <f t="shared" si="28"/>
        <v>401.17355903333538</v>
      </c>
      <c r="K96" s="241">
        <f t="shared" si="28"/>
        <v>457.07181826147297</v>
      </c>
      <c r="L96" s="241">
        <f t="shared" si="28"/>
        <v>509.46504127701246</v>
      </c>
      <c r="M96" s="241">
        <f t="shared" si="28"/>
        <v>553.4557897375912</v>
      </c>
      <c r="N96" s="241">
        <f t="shared" si="28"/>
        <v>610.3785696063112</v>
      </c>
      <c r="O96" s="241">
        <f>IF(O78=0,0,O78/(O69/365))</f>
        <v>670.67404909717027</v>
      </c>
    </row>
    <row r="97" spans="1:15" s="232" customFormat="1" ht="19.5" customHeight="1" x14ac:dyDescent="0.3">
      <c r="A97" s="228"/>
      <c r="B97" s="229" t="s">
        <v>332</v>
      </c>
      <c r="C97" s="230"/>
      <c r="D97" s="231">
        <f t="shared" ref="D97:D103" si="29">IF(D79=0,0,D79/(D70/365))</f>
        <v>226.85559103837403</v>
      </c>
      <c r="E97" s="231">
        <f t="shared" ref="E97:N97" si="30">IF(E79=0,0,E79/(E70/365))</f>
        <v>358.14578222106519</v>
      </c>
      <c r="F97" s="231">
        <f t="shared" si="30"/>
        <v>558.49821319037812</v>
      </c>
      <c r="G97" s="231">
        <f t="shared" si="30"/>
        <v>784.52147380300642</v>
      </c>
      <c r="H97" s="231">
        <f t="shared" si="30"/>
        <v>1012.9370799137783</v>
      </c>
      <c r="I97" s="231">
        <f t="shared" si="30"/>
        <v>1245.7174954676718</v>
      </c>
      <c r="J97" s="231">
        <f t="shared" si="30"/>
        <v>1498.6041951823031</v>
      </c>
      <c r="K97" s="231">
        <f t="shared" si="30"/>
        <v>1758.3189494619744</v>
      </c>
      <c r="L97" s="231">
        <f t="shared" si="30"/>
        <v>2028.702568738305</v>
      </c>
      <c r="M97" s="231">
        <f t="shared" si="30"/>
        <v>2277.3376032801766</v>
      </c>
      <c r="N97" s="231">
        <f t="shared" si="30"/>
        <v>2579.3687234142135</v>
      </c>
      <c r="O97" s="231">
        <f>IF(O79=0,0,O79/(O70/365))</f>
        <v>2879.3059491228</v>
      </c>
    </row>
    <row r="98" spans="1:15" s="232" customFormat="1" ht="19.5" customHeight="1" x14ac:dyDescent="0.3">
      <c r="A98" s="228"/>
      <c r="B98" s="232" t="s">
        <v>739</v>
      </c>
      <c r="C98" s="230"/>
      <c r="D98" s="231">
        <f t="shared" si="29"/>
        <v>106.94909187675485</v>
      </c>
      <c r="E98" s="231">
        <f t="shared" ref="E98:O98" si="31">IF(E80=0,0,E80/(E71/365))</f>
        <v>147.24892852988876</v>
      </c>
      <c r="F98" s="231">
        <f t="shared" si="31"/>
        <v>189.19554347029117</v>
      </c>
      <c r="G98" s="231">
        <f t="shared" si="31"/>
        <v>215.82782473531964</v>
      </c>
      <c r="H98" s="231">
        <f t="shared" si="31"/>
        <v>242.25823828121312</v>
      </c>
      <c r="I98" s="231">
        <f t="shared" si="31"/>
        <v>261.4316233964243</v>
      </c>
      <c r="J98" s="231">
        <f t="shared" si="31"/>
        <v>287.27541197749321</v>
      </c>
      <c r="K98" s="231">
        <f t="shared" si="31"/>
        <v>308.25180705377193</v>
      </c>
      <c r="L98" s="231">
        <f t="shared" si="31"/>
        <v>327.35045115971639</v>
      </c>
      <c r="M98" s="231">
        <f t="shared" si="31"/>
        <v>335.93992518232034</v>
      </c>
      <c r="N98" s="231">
        <f t="shared" si="31"/>
        <v>353.79316258751476</v>
      </c>
      <c r="O98" s="231">
        <f t="shared" si="31"/>
        <v>368.94891529501587</v>
      </c>
    </row>
    <row r="99" spans="1:15" s="232" customFormat="1" ht="19.5" customHeight="1" x14ac:dyDescent="0.3">
      <c r="A99" s="228"/>
      <c r="B99" s="232" t="s">
        <v>740</v>
      </c>
      <c r="C99" s="230"/>
      <c r="D99" s="231">
        <f t="shared" si="29"/>
        <v>55.785573993164228</v>
      </c>
      <c r="E99" s="231">
        <f t="shared" ref="E99:O99" si="32">IF(E81=0,0,E81/(E72/365))</f>
        <v>63.321744367553265</v>
      </c>
      <c r="F99" s="231">
        <f t="shared" si="32"/>
        <v>75.365002403554143</v>
      </c>
      <c r="G99" s="231">
        <f t="shared" si="32"/>
        <v>84.094719262883459</v>
      </c>
      <c r="H99" s="231">
        <f t="shared" si="32"/>
        <v>91.019279900527309</v>
      </c>
      <c r="I99" s="231">
        <f t="shared" si="32"/>
        <v>94.455216392532137</v>
      </c>
      <c r="J99" s="231">
        <f t="shared" si="32"/>
        <v>102.24741301411002</v>
      </c>
      <c r="K99" s="231">
        <f t="shared" si="32"/>
        <v>107.794861242358</v>
      </c>
      <c r="L99" s="231">
        <f t="shared" si="32"/>
        <v>112.7628706236695</v>
      </c>
      <c r="M99" s="231">
        <f t="shared" si="32"/>
        <v>111.31974491755352</v>
      </c>
      <c r="N99" s="231">
        <f t="shared" si="32"/>
        <v>115.14230145076262</v>
      </c>
      <c r="O99" s="231">
        <f t="shared" si="32"/>
        <v>120.03417810811939</v>
      </c>
    </row>
    <row r="100" spans="1:15" s="232" customFormat="1" ht="19.5" customHeight="1" x14ac:dyDescent="0.3">
      <c r="A100" s="228"/>
      <c r="B100" s="232" t="s">
        <v>741</v>
      </c>
      <c r="C100" s="230"/>
      <c r="D100" s="231">
        <f t="shared" si="29"/>
        <v>23.384640711511381</v>
      </c>
      <c r="E100" s="231">
        <f t="shared" ref="E100:O100" si="33">IF(E82=0,0,E82/(E73/365))</f>
        <v>16.615627484552931</v>
      </c>
      <c r="F100" s="231">
        <f t="shared" si="33"/>
        <v>28.908474643796247</v>
      </c>
      <c r="G100" s="231">
        <f t="shared" si="33"/>
        <v>41.859233662652002</v>
      </c>
      <c r="H100" s="231">
        <f t="shared" si="33"/>
        <v>56.206295605509005</v>
      </c>
      <c r="I100" s="231">
        <f t="shared" si="33"/>
        <v>72.443429740297432</v>
      </c>
      <c r="J100" s="231">
        <f t="shared" si="33"/>
        <v>96.311393939013826</v>
      </c>
      <c r="K100" s="231">
        <f t="shared" si="33"/>
        <v>121.33455072830692</v>
      </c>
      <c r="L100" s="231">
        <f t="shared" si="33"/>
        <v>116.51528998330045</v>
      </c>
      <c r="M100" s="231">
        <f t="shared" si="33"/>
        <v>116.39112623127765</v>
      </c>
      <c r="N100" s="231">
        <f t="shared" si="33"/>
        <v>124.57367650391065</v>
      </c>
      <c r="O100" s="231">
        <f t="shared" si="33"/>
        <v>137.6628033525526</v>
      </c>
    </row>
    <row r="101" spans="1:15" s="232" customFormat="1" ht="19.5" customHeight="1" x14ac:dyDescent="0.3">
      <c r="A101" s="228"/>
      <c r="B101" s="232" t="s">
        <v>742</v>
      </c>
      <c r="C101" s="230"/>
      <c r="D101" s="233">
        <f t="shared" si="29"/>
        <v>0.86179498863856707</v>
      </c>
      <c r="E101" s="233">
        <f t="shared" ref="E101:O101" si="34">IF(E83=0,0,E83/(E74/365))</f>
        <v>4.4968486095946041</v>
      </c>
      <c r="F101" s="233">
        <f t="shared" si="34"/>
        <v>22.711085029907537</v>
      </c>
      <c r="G101" s="233">
        <f t="shared" si="34"/>
        <v>35.167104323068649</v>
      </c>
      <c r="H101" s="233">
        <f t="shared" si="34"/>
        <v>49.465867576686108</v>
      </c>
      <c r="I101" s="233">
        <f t="shared" si="34"/>
        <v>64.391629099136026</v>
      </c>
      <c r="J101" s="233">
        <f t="shared" si="34"/>
        <v>86.426295645015131</v>
      </c>
      <c r="K101" s="233">
        <f t="shared" si="34"/>
        <v>85.314447764143821</v>
      </c>
      <c r="L101" s="233">
        <f t="shared" si="34"/>
        <v>92.170890910926573</v>
      </c>
      <c r="M101" s="233">
        <f t="shared" si="34"/>
        <v>96.047616147468986</v>
      </c>
      <c r="N101" s="233">
        <f t="shared" si="34"/>
        <v>108.1323259412038</v>
      </c>
      <c r="O101" s="233">
        <f t="shared" si="34"/>
        <v>124.0959708847041</v>
      </c>
    </row>
    <row r="102" spans="1:15" s="232" customFormat="1" ht="19.5" customHeight="1" x14ac:dyDescent="0.3">
      <c r="A102" s="228"/>
      <c r="B102" s="232" t="s">
        <v>744</v>
      </c>
      <c r="C102" s="230"/>
      <c r="D102" s="233">
        <f t="shared" si="29"/>
        <v>16.763071815695024</v>
      </c>
      <c r="E102" s="233">
        <f t="shared" ref="E102:O102" si="35">IF(E84=0,0,E84/(E75/365))</f>
        <v>25.419251148206609</v>
      </c>
      <c r="F102" s="233">
        <f t="shared" si="35"/>
        <v>19.911285632893321</v>
      </c>
      <c r="G102" s="233">
        <f t="shared" si="35"/>
        <v>16.312548531811121</v>
      </c>
      <c r="H102" s="233">
        <f t="shared" si="35"/>
        <v>13.913217400656084</v>
      </c>
      <c r="I102" s="233">
        <f t="shared" si="35"/>
        <v>17.586353889077976</v>
      </c>
      <c r="J102" s="233">
        <f t="shared" si="35"/>
        <v>24.373885434579961</v>
      </c>
      <c r="K102" s="233">
        <f t="shared" si="35"/>
        <v>36.525477956323904</v>
      </c>
      <c r="L102" s="233">
        <f t="shared" si="35"/>
        <v>49.113677300233995</v>
      </c>
      <c r="M102" s="233">
        <f t="shared" si="35"/>
        <v>50.21315168610365</v>
      </c>
      <c r="N102" s="233">
        <f t="shared" si="35"/>
        <v>55.546196840178929</v>
      </c>
      <c r="O102" s="233">
        <f t="shared" si="35"/>
        <v>65.729051463412659</v>
      </c>
    </row>
    <row r="103" spans="1:15" s="232" customFormat="1" ht="19.5" customHeight="1" x14ac:dyDescent="0.3">
      <c r="A103" s="228"/>
      <c r="B103" s="232" t="s">
        <v>743</v>
      </c>
      <c r="C103" s="230"/>
      <c r="D103" s="233">
        <f t="shared" si="29"/>
        <v>0</v>
      </c>
      <c r="E103" s="233">
        <f t="shared" ref="E103:O103" si="36">IF(E85=0,0,E85/(E76/365))</f>
        <v>0</v>
      </c>
      <c r="F103" s="233">
        <f t="shared" si="36"/>
        <v>1.4711526817768408E-2</v>
      </c>
      <c r="G103" s="233">
        <f t="shared" si="36"/>
        <v>1.4441420286036895</v>
      </c>
      <c r="H103" s="233">
        <f t="shared" si="36"/>
        <v>11.943610821727411</v>
      </c>
      <c r="I103" s="233">
        <f t="shared" si="36"/>
        <v>17.868616640371698</v>
      </c>
      <c r="J103" s="233">
        <f t="shared" si="36"/>
        <v>25.386933098673108</v>
      </c>
      <c r="K103" s="233">
        <f t="shared" si="36"/>
        <v>39.926989975879572</v>
      </c>
      <c r="L103" s="233">
        <f t="shared" si="36"/>
        <v>56.672113935319501</v>
      </c>
      <c r="M103" s="233">
        <f t="shared" si="36"/>
        <v>75.740352823050046</v>
      </c>
      <c r="N103" s="233">
        <f t="shared" si="36"/>
        <v>90.978914437330971</v>
      </c>
      <c r="O103" s="233">
        <f t="shared" si="36"/>
        <v>115.82392253299697</v>
      </c>
    </row>
    <row r="105" spans="1:15" s="251" customFormat="1" ht="23.25" x14ac:dyDescent="0.35">
      <c r="A105" s="336" t="s">
        <v>550</v>
      </c>
      <c r="B105" s="336"/>
      <c r="C105" s="243"/>
      <c r="D105" s="242">
        <f t="shared" ref="D105:O105" si="37">IF(D87=0,0,D87/D69)</f>
        <v>0.10804055155096702</v>
      </c>
      <c r="E105" s="242">
        <f t="shared" si="37"/>
        <v>0.12808024772966151</v>
      </c>
      <c r="F105" s="242">
        <f t="shared" si="37"/>
        <v>0.16703316207334726</v>
      </c>
      <c r="G105" s="242">
        <f t="shared" si="37"/>
        <v>0.16958293183646553</v>
      </c>
      <c r="H105" s="242">
        <f t="shared" si="37"/>
        <v>0.17689908681148098</v>
      </c>
      <c r="I105" s="242">
        <f t="shared" si="37"/>
        <v>0.17761681056407874</v>
      </c>
      <c r="J105" s="242">
        <f t="shared" si="37"/>
        <v>0.19315330598864319</v>
      </c>
      <c r="K105" s="242">
        <f t="shared" si="37"/>
        <v>0.19599537869415135</v>
      </c>
      <c r="L105" s="242">
        <f t="shared" si="37"/>
        <v>0.19728264630685882</v>
      </c>
      <c r="M105" s="242">
        <f t="shared" si="37"/>
        <v>0.18913652461313718</v>
      </c>
      <c r="N105" s="242">
        <f t="shared" si="37"/>
        <v>0.20339136257192478</v>
      </c>
      <c r="O105" s="242">
        <f t="shared" si="37"/>
        <v>0.21787448496641026</v>
      </c>
    </row>
    <row r="106" spans="1:15" s="232" customFormat="1" ht="19.5" customHeight="1" x14ac:dyDescent="0.3">
      <c r="A106" s="228"/>
      <c r="B106" s="229" t="s">
        <v>332</v>
      </c>
      <c r="C106" s="230"/>
      <c r="D106" s="234">
        <f t="shared" ref="D106:D112" si="38">IF(D88=0,0,D88/D70)</f>
        <v>0.23773061958538896</v>
      </c>
      <c r="E106" s="234">
        <f t="shared" ref="E106:O106" si="39">IF(E88=0,0,E88/E70)</f>
        <v>0.37589067035258289</v>
      </c>
      <c r="F106" s="234">
        <f t="shared" si="39"/>
        <v>0.57573221872827784</v>
      </c>
      <c r="G106" s="234">
        <f t="shared" si="39"/>
        <v>0.6525374001966564</v>
      </c>
      <c r="H106" s="234">
        <f t="shared" si="39"/>
        <v>0.6890446889146703</v>
      </c>
      <c r="I106" s="234">
        <f t="shared" si="39"/>
        <v>0.71089519065312312</v>
      </c>
      <c r="J106" s="234">
        <f t="shared" si="39"/>
        <v>0.75356710300660423</v>
      </c>
      <c r="K106" s="234">
        <f t="shared" si="39"/>
        <v>0.79189240786182169</v>
      </c>
      <c r="L106" s="234">
        <f t="shared" si="39"/>
        <v>0.83576447777766694</v>
      </c>
      <c r="M106" s="234">
        <f t="shared" si="39"/>
        <v>0.8558285011922282</v>
      </c>
      <c r="N106" s="234">
        <f t="shared" si="39"/>
        <v>0.91135131892734822</v>
      </c>
      <c r="O106" s="234">
        <f t="shared" si="39"/>
        <v>0.95734187132025583</v>
      </c>
    </row>
    <row r="107" spans="1:15" s="232" customFormat="1" ht="19.5" customHeight="1" x14ac:dyDescent="0.3">
      <c r="A107" s="228"/>
      <c r="B107" s="232" t="s">
        <v>739</v>
      </c>
      <c r="C107" s="230"/>
      <c r="D107" s="234">
        <f t="shared" si="38"/>
        <v>0.10619025151109486</v>
      </c>
      <c r="E107" s="234">
        <f t="shared" ref="E107:O107" si="40">IF(E89=0,0,E89/E71)</f>
        <v>0.11581376451063026</v>
      </c>
      <c r="F107" s="234">
        <f t="shared" si="40"/>
        <v>0.1230713670015498</v>
      </c>
      <c r="G107" s="234">
        <f t="shared" si="40"/>
        <v>9.786180668863749E-2</v>
      </c>
      <c r="H107" s="234">
        <f t="shared" si="40"/>
        <v>9.1185533568514901E-2</v>
      </c>
      <c r="I107" s="234">
        <f t="shared" si="40"/>
        <v>7.7538065062497885E-2</v>
      </c>
      <c r="J107" s="234">
        <f t="shared" si="40"/>
        <v>8.5657823598440347E-2</v>
      </c>
      <c r="K107" s="234">
        <f t="shared" si="40"/>
        <v>8.1884727858903009E-2</v>
      </c>
      <c r="L107" s="234">
        <f t="shared" si="40"/>
        <v>7.8158408677146754E-2</v>
      </c>
      <c r="M107" s="234">
        <f t="shared" si="40"/>
        <v>6.1278793034202701E-2</v>
      </c>
      <c r="N107" s="234">
        <f t="shared" si="40"/>
        <v>6.7788374702863419E-2</v>
      </c>
      <c r="O107" s="234">
        <f t="shared" si="40"/>
        <v>6.7286004808838423E-2</v>
      </c>
    </row>
    <row r="108" spans="1:15" s="232" customFormat="1" ht="19.5" customHeight="1" x14ac:dyDescent="0.3">
      <c r="A108" s="228"/>
      <c r="B108" s="232" t="s">
        <v>740</v>
      </c>
      <c r="C108" s="230"/>
      <c r="D108" s="234">
        <f t="shared" si="38"/>
        <v>5.0794604606602727E-2</v>
      </c>
      <c r="E108" s="234">
        <f t="shared" ref="E108:O108" si="41">IF(E90=0,0,E90/E72)</f>
        <v>2.7987330251136807E-2</v>
      </c>
      <c r="F108" s="234">
        <f t="shared" si="41"/>
        <v>3.6241971511605096E-2</v>
      </c>
      <c r="G108" s="234">
        <f t="shared" si="41"/>
        <v>3.0445670007362102E-2</v>
      </c>
      <c r="H108" s="234">
        <f t="shared" si="41"/>
        <v>2.5909414348075803E-2</v>
      </c>
      <c r="I108" s="234">
        <f t="shared" si="41"/>
        <v>1.771185955742002E-2</v>
      </c>
      <c r="J108" s="234">
        <f t="shared" si="41"/>
        <v>2.5845454282871948E-2</v>
      </c>
      <c r="K108" s="234">
        <f t="shared" si="41"/>
        <v>2.2936426038594974E-2</v>
      </c>
      <c r="L108" s="234">
        <f t="shared" si="41"/>
        <v>2.2283020556711532E-2</v>
      </c>
      <c r="M108" s="234">
        <f t="shared" si="41"/>
        <v>8.7593240961565989E-3</v>
      </c>
      <c r="N108" s="234">
        <f t="shared" si="41"/>
        <v>1.6652060200629593E-2</v>
      </c>
      <c r="O108" s="234">
        <f t="shared" si="41"/>
        <v>2.0808985016504886E-2</v>
      </c>
    </row>
    <row r="109" spans="1:15" s="232" customFormat="1" ht="19.5" customHeight="1" x14ac:dyDescent="0.3">
      <c r="A109" s="228"/>
      <c r="B109" s="232" t="s">
        <v>741</v>
      </c>
      <c r="C109" s="230"/>
      <c r="D109" s="234">
        <f t="shared" si="38"/>
        <v>5.375218545597997E-2</v>
      </c>
      <c r="E109" s="234">
        <f t="shared" ref="E109:O109" si="42">IF(E91=0,0,E91/E73)</f>
        <v>-1.0599300257605727E-3</v>
      </c>
      <c r="F109" s="234">
        <f t="shared" si="42"/>
        <v>3.6236792589888982E-2</v>
      </c>
      <c r="G109" s="234">
        <f t="shared" si="42"/>
        <v>3.9573459492382008E-2</v>
      </c>
      <c r="H109" s="234">
        <f t="shared" si="42"/>
        <v>4.4789602518017571E-2</v>
      </c>
      <c r="I109" s="234">
        <f t="shared" si="42"/>
        <v>5.2287186816154525E-2</v>
      </c>
      <c r="J109" s="234">
        <f t="shared" si="42"/>
        <v>7.2679644680880284E-2</v>
      </c>
      <c r="K109" s="234">
        <f t="shared" si="42"/>
        <v>8.0647036943334777E-2</v>
      </c>
      <c r="L109" s="234">
        <f t="shared" si="42"/>
        <v>2.2529234780843042E-2</v>
      </c>
      <c r="M109" s="234">
        <f t="shared" si="42"/>
        <v>1.8286963953257532E-2</v>
      </c>
      <c r="N109" s="234">
        <f t="shared" si="42"/>
        <v>3.4334586864331135E-2</v>
      </c>
      <c r="O109" s="234">
        <f t="shared" si="42"/>
        <v>4.9931700453350561E-2</v>
      </c>
    </row>
    <row r="110" spans="1:15" s="232" customFormat="1" ht="19.5" customHeight="1" x14ac:dyDescent="0.3">
      <c r="A110" s="228"/>
      <c r="B110" s="232" t="s">
        <v>742</v>
      </c>
      <c r="C110" s="230"/>
      <c r="D110" s="235">
        <f t="shared" si="38"/>
        <v>2.3610821606536085E-3</v>
      </c>
      <c r="E110" s="235">
        <f t="shared" ref="E110:O110" si="43">IF(E92=0,0,E92/E74)</f>
        <v>1.0668530003903E-2</v>
      </c>
      <c r="F110" s="235">
        <f t="shared" si="43"/>
        <v>5.1093280689332631E-2</v>
      </c>
      <c r="G110" s="235">
        <f t="shared" si="43"/>
        <v>3.7337781478170587E-2</v>
      </c>
      <c r="H110" s="235">
        <f t="shared" si="43"/>
        <v>4.3922836681044707E-2</v>
      </c>
      <c r="I110" s="235">
        <f t="shared" si="43"/>
        <v>4.7630165533985032E-2</v>
      </c>
      <c r="J110" s="235">
        <f t="shared" si="43"/>
        <v>6.7185966911097059E-2</v>
      </c>
      <c r="K110" s="235">
        <f t="shared" si="43"/>
        <v>1.9700473465558407E-2</v>
      </c>
      <c r="L110" s="235">
        <f t="shared" si="43"/>
        <v>2.982118921034739E-2</v>
      </c>
      <c r="M110" s="235">
        <f t="shared" si="43"/>
        <v>2.5358660871319084E-2</v>
      </c>
      <c r="N110" s="235">
        <f t="shared" si="43"/>
        <v>4.3546805597586079E-2</v>
      </c>
      <c r="O110" s="235">
        <f t="shared" si="43"/>
        <v>5.6331130732906028E-2</v>
      </c>
    </row>
    <row r="111" spans="1:15" s="232" customFormat="1" ht="19.5" customHeight="1" x14ac:dyDescent="0.3">
      <c r="A111" s="228"/>
      <c r="B111" s="232" t="s">
        <v>744</v>
      </c>
      <c r="C111" s="230"/>
      <c r="D111" s="235">
        <f t="shared" si="38"/>
        <v>4.5926224152589103E-2</v>
      </c>
      <c r="E111" s="235">
        <f t="shared" ref="E111:O111" si="44">IF(E93=0,0,E93/E75)</f>
        <v>2.1831925847473729E-2</v>
      </c>
      <c r="F111" s="235">
        <f t="shared" si="44"/>
        <v>-4.9304710332659643E-3</v>
      </c>
      <c r="G111" s="235">
        <f t="shared" si="44"/>
        <v>-7.7620916692335024E-3</v>
      </c>
      <c r="H111" s="235">
        <f t="shared" si="44"/>
        <v>-4.3726337621882126E-3</v>
      </c>
      <c r="I111" s="235">
        <f t="shared" si="44"/>
        <v>1.167054868682676E-2</v>
      </c>
      <c r="J111" s="235">
        <f t="shared" si="44"/>
        <v>2.0831516819187098E-2</v>
      </c>
      <c r="K111" s="235">
        <f t="shared" si="44"/>
        <v>3.588380798853804E-2</v>
      </c>
      <c r="L111" s="235">
        <f t="shared" si="44"/>
        <v>3.9803778126957227E-2</v>
      </c>
      <c r="M111" s="235">
        <f t="shared" si="44"/>
        <v>1.3539999298266148E-2</v>
      </c>
      <c r="N111" s="235">
        <f t="shared" si="44"/>
        <v>2.0855397087610687E-2</v>
      </c>
      <c r="O111" s="235">
        <f t="shared" si="44"/>
        <v>3.4418727595211765E-2</v>
      </c>
    </row>
    <row r="112" spans="1:15" s="232" customFormat="1" ht="19.5" customHeight="1" x14ac:dyDescent="0.3">
      <c r="A112" s="228"/>
      <c r="B112" s="232" t="s">
        <v>743</v>
      </c>
      <c r="C112" s="230"/>
      <c r="D112" s="334">
        <f t="shared" si="38"/>
        <v>0</v>
      </c>
      <c r="E112" s="334">
        <f t="shared" ref="E112:O112" si="45">IF(E94=0,0,E94/E76)</f>
        <v>0</v>
      </c>
      <c r="F112" s="235">
        <f t="shared" si="45"/>
        <v>4.0305552925392898E-5</v>
      </c>
      <c r="G112" s="235">
        <f t="shared" si="45"/>
        <v>3.928482352238972E-3</v>
      </c>
      <c r="H112" s="235">
        <f t="shared" si="45"/>
        <v>2.919918726458556E-2</v>
      </c>
      <c r="I112" s="235">
        <f t="shared" si="45"/>
        <v>1.7856928566615936E-2</v>
      </c>
      <c r="J112" s="235">
        <f t="shared" si="45"/>
        <v>2.3067520394114055E-2</v>
      </c>
      <c r="K112" s="235">
        <f t="shared" si="45"/>
        <v>4.2290102067050556E-2</v>
      </c>
      <c r="L112" s="235">
        <f t="shared" si="45"/>
        <v>5.1153240756185811E-2</v>
      </c>
      <c r="M112" s="235">
        <f t="shared" si="45"/>
        <v>5.9460633966697859E-2</v>
      </c>
      <c r="N112" s="235">
        <f t="shared" si="45"/>
        <v>5.4421525180692966E-2</v>
      </c>
      <c r="O112" s="235">
        <f t="shared" si="45"/>
        <v>7.6629087616524483E-2</v>
      </c>
    </row>
    <row r="114" spans="1:15" s="251" customFormat="1" ht="23.25" x14ac:dyDescent="0.35">
      <c r="A114" s="336" t="s">
        <v>552</v>
      </c>
      <c r="B114" s="336"/>
      <c r="C114" s="243"/>
      <c r="D114" s="241">
        <f>D78-C78</f>
        <v>1384706.2269099995</v>
      </c>
      <c r="E114" s="241">
        <f>E78-D78</f>
        <v>702998.58552474552</v>
      </c>
      <c r="F114" s="241">
        <f t="shared" ref="F114:O114" si="46">F78-E78</f>
        <v>1043172.1242878409</v>
      </c>
      <c r="G114" s="241">
        <f t="shared" si="46"/>
        <v>1131779.7214690791</v>
      </c>
      <c r="H114" s="241">
        <f t="shared" si="46"/>
        <v>1236020.7358902395</v>
      </c>
      <c r="I114" s="241">
        <f t="shared" si="46"/>
        <v>1291540.3307418581</v>
      </c>
      <c r="J114" s="241">
        <f t="shared" si="46"/>
        <v>1447706.4090186507</v>
      </c>
      <c r="K114" s="241">
        <f t="shared" si="46"/>
        <v>1528601.7668915344</v>
      </c>
      <c r="L114" s="241">
        <f t="shared" si="46"/>
        <v>1607631.8762698304</v>
      </c>
      <c r="M114" s="241">
        <f t="shared" si="46"/>
        <v>1620931.2417778727</v>
      </c>
      <c r="N114" s="241">
        <f t="shared" si="46"/>
        <v>1799392.2018263862</v>
      </c>
      <c r="O114" s="241">
        <f t="shared" si="46"/>
        <v>1990221.374992162</v>
      </c>
    </row>
    <row r="115" spans="1:15" s="232" customFormat="1" ht="19.5" customHeight="1" x14ac:dyDescent="0.3">
      <c r="A115" s="228"/>
      <c r="B115" s="229" t="s">
        <v>332</v>
      </c>
      <c r="C115" s="230"/>
      <c r="D115" s="231">
        <f>D79-C79</f>
        <v>809713.20374999987</v>
      </c>
      <c r="E115" s="231">
        <f t="shared" ref="E115:O115" si="47">E79-D79</f>
        <v>502805.59649204533</v>
      </c>
      <c r="F115" s="231">
        <f t="shared" si="47"/>
        <v>791763.8958193406</v>
      </c>
      <c r="G115" s="231">
        <f t="shared" si="47"/>
        <v>917350.13088307763</v>
      </c>
      <c r="H115" s="231">
        <f t="shared" si="47"/>
        <v>998041.66048780596</v>
      </c>
      <c r="I115" s="231">
        <f t="shared" si="47"/>
        <v>1057563.3275891654</v>
      </c>
      <c r="J115" s="231">
        <f t="shared" si="47"/>
        <v>1141352.5103075244</v>
      </c>
      <c r="K115" s="231">
        <f t="shared" si="47"/>
        <v>1223339.3614516314</v>
      </c>
      <c r="L115" s="231">
        <f t="shared" si="47"/>
        <v>1317084.4457842894</v>
      </c>
      <c r="M115" s="231">
        <f t="shared" si="47"/>
        <v>1392454.7105445657</v>
      </c>
      <c r="N115" s="231">
        <f t="shared" si="47"/>
        <v>1502995.0973226577</v>
      </c>
      <c r="O115" s="231">
        <f t="shared" si="47"/>
        <v>1609729.7016520761</v>
      </c>
    </row>
    <row r="116" spans="1:15" s="232" customFormat="1" ht="19.5" customHeight="1" x14ac:dyDescent="0.3">
      <c r="A116" s="228"/>
      <c r="B116" s="232" t="s">
        <v>739</v>
      </c>
      <c r="C116" s="230"/>
      <c r="D116" s="231">
        <f>D80-C80</f>
        <v>376417.56516</v>
      </c>
      <c r="E116" s="231">
        <f t="shared" ref="E116:O119" si="48">E80-D80</f>
        <v>151575.55315819988</v>
      </c>
      <c r="F116" s="231">
        <f t="shared" si="48"/>
        <v>164394.99438865017</v>
      </c>
      <c r="G116" s="231">
        <f t="shared" si="48"/>
        <v>137316.28755599796</v>
      </c>
      <c r="H116" s="231">
        <f t="shared" si="48"/>
        <v>132143.79955027043</v>
      </c>
      <c r="I116" s="231">
        <f t="shared" si="48"/>
        <v>116765.82942317263</v>
      </c>
      <c r="J116" s="231">
        <f t="shared" si="48"/>
        <v>131725.09348996496</v>
      </c>
      <c r="K116" s="231">
        <f t="shared" si="48"/>
        <v>129954.09301557927</v>
      </c>
      <c r="L116" s="231">
        <f t="shared" si="48"/>
        <v>127954.30598645145</v>
      </c>
      <c r="M116" s="231">
        <f t="shared" si="48"/>
        <v>104728.15512332763</v>
      </c>
      <c r="N116" s="231">
        <f t="shared" si="48"/>
        <v>118279.0049291316</v>
      </c>
      <c r="O116" s="231">
        <f t="shared" si="48"/>
        <v>120608.15863614529</v>
      </c>
    </row>
    <row r="117" spans="1:15" s="232" customFormat="1" ht="19.5" customHeight="1" x14ac:dyDescent="0.3">
      <c r="A117" s="228"/>
      <c r="B117" s="232" t="s">
        <v>740</v>
      </c>
      <c r="C117" s="230"/>
      <c r="D117" s="231">
        <f t="shared" ref="D117" si="49">D81-C81</f>
        <v>137795.62199999986</v>
      </c>
      <c r="E117" s="231">
        <f t="shared" si="48"/>
        <v>26505.936253000051</v>
      </c>
      <c r="F117" s="231">
        <f t="shared" si="48"/>
        <v>34978.267677499913</v>
      </c>
      <c r="G117" s="231">
        <f t="shared" si="48"/>
        <v>30343.500393265509</v>
      </c>
      <c r="H117" s="231">
        <f t="shared" si="48"/>
        <v>26624.212326980545</v>
      </c>
      <c r="I117" s="231">
        <f t="shared" si="48"/>
        <v>18827.016179782106</v>
      </c>
      <c r="J117" s="231">
        <f t="shared" si="48"/>
        <v>27958.55974761839</v>
      </c>
      <c r="K117" s="231">
        <f t="shared" si="48"/>
        <v>25516.526244455948</v>
      </c>
      <c r="L117" s="231">
        <f t="shared" si="48"/>
        <v>25539.564619545126</v>
      </c>
      <c r="M117" s="231">
        <f t="shared" si="48"/>
        <v>10470.313862718875</v>
      </c>
      <c r="N117" s="231">
        <f t="shared" si="48"/>
        <v>20316.395817048615</v>
      </c>
      <c r="O117" s="231">
        <f t="shared" si="48"/>
        <v>25998.477369514294</v>
      </c>
    </row>
    <row r="118" spans="1:15" s="232" customFormat="1" ht="19.5" customHeight="1" x14ac:dyDescent="0.3">
      <c r="A118" s="228"/>
      <c r="B118" s="232" t="s">
        <v>741</v>
      </c>
      <c r="C118" s="230"/>
      <c r="D118" s="231">
        <f t="shared" ref="D118" si="50">D82-C82</f>
        <v>24843.625999999989</v>
      </c>
      <c r="E118" s="231">
        <f t="shared" si="48"/>
        <v>-565.29117950005457</v>
      </c>
      <c r="F118" s="231">
        <f t="shared" si="48"/>
        <v>20476.64521912497</v>
      </c>
      <c r="G118" s="231">
        <f t="shared" si="48"/>
        <v>23580.404570968472</v>
      </c>
      <c r="H118" s="231">
        <f t="shared" si="48"/>
        <v>28028.459256282309</v>
      </c>
      <c r="I118" s="231">
        <f t="shared" si="48"/>
        <v>34466.547024598462</v>
      </c>
      <c r="J118" s="231">
        <f t="shared" si="48"/>
        <v>49735.060290877358</v>
      </c>
      <c r="K118" s="231">
        <f t="shared" si="48"/>
        <v>57837.308053353336</v>
      </c>
      <c r="L118" s="231">
        <f t="shared" si="48"/>
        <v>18103.132492374862</v>
      </c>
      <c r="M118" s="231">
        <f t="shared" si="48"/>
        <v>15604.876318361145</v>
      </c>
      <c r="N118" s="231">
        <f t="shared" si="48"/>
        <v>30436.261126797879</v>
      </c>
      <c r="O118" s="231">
        <f t="shared" si="48"/>
        <v>46165.820986885345</v>
      </c>
    </row>
    <row r="119" spans="1:15" s="232" customFormat="1" ht="19.5" customHeight="1" x14ac:dyDescent="0.3">
      <c r="A119" s="228"/>
      <c r="B119" s="232" t="s">
        <v>742</v>
      </c>
      <c r="C119" s="230"/>
      <c r="D119" s="231">
        <f t="shared" ref="D119" si="51">D83-C83</f>
        <v>1043.9785000000265</v>
      </c>
      <c r="E119" s="231">
        <f t="shared" si="48"/>
        <v>6743.5786829999415</v>
      </c>
      <c r="F119" s="231">
        <f t="shared" si="48"/>
        <v>35753.121589437593</v>
      </c>
      <c r="G119" s="231">
        <f t="shared" si="48"/>
        <v>27549.567271235515</v>
      </c>
      <c r="H119" s="231">
        <f t="shared" si="48"/>
        <v>34088.234284568229</v>
      </c>
      <c r="I119" s="231">
        <f t="shared" si="48"/>
        <v>38899.393911608495</v>
      </c>
      <c r="J119" s="231">
        <f t="shared" si="48"/>
        <v>57076.075139583321</v>
      </c>
      <c r="K119" s="231">
        <f t="shared" si="48"/>
        <v>18514.622934676707</v>
      </c>
      <c r="L119" s="231">
        <f t="shared" si="48"/>
        <v>29415.020761856576</v>
      </c>
      <c r="M119" s="231">
        <f t="shared" si="48"/>
        <v>26563.548040147522</v>
      </c>
      <c r="N119" s="231">
        <f t="shared" si="48"/>
        <v>47500.042396489996</v>
      </c>
      <c r="O119" s="231">
        <f t="shared" si="48"/>
        <v>64173.254805737408</v>
      </c>
    </row>
    <row r="120" spans="1:15" s="232" customFormat="1" ht="19.5" customHeight="1" x14ac:dyDescent="0.3">
      <c r="A120" s="228"/>
      <c r="B120" s="232" t="s">
        <v>744</v>
      </c>
      <c r="C120" s="230"/>
      <c r="D120" s="231">
        <f>D84-C84</f>
        <v>34892.231499999994</v>
      </c>
      <c r="E120" s="231">
        <f t="shared" ref="E120:O120" si="52">E84-D84</f>
        <v>15933.212118000141</v>
      </c>
      <c r="F120" s="231">
        <f t="shared" si="52"/>
        <v>-4212.932257150067</v>
      </c>
      <c r="G120" s="231">
        <f t="shared" si="52"/>
        <v>-6897.6731705719139</v>
      </c>
      <c r="H120" s="231">
        <f t="shared" si="52"/>
        <v>-4086.9428505619289</v>
      </c>
      <c r="I120" s="231">
        <f t="shared" si="52"/>
        <v>11388.193208369194</v>
      </c>
      <c r="J120" s="231">
        <f t="shared" si="52"/>
        <v>21316.568980043055</v>
      </c>
      <c r="K120" s="231">
        <f t="shared" si="52"/>
        <v>38202.040432064561</v>
      </c>
      <c r="L120" s="231">
        <f t="shared" si="52"/>
        <v>44752.439538093517</v>
      </c>
      <c r="M120" s="231">
        <f t="shared" si="52"/>
        <v>16515.545616979944</v>
      </c>
      <c r="N120" s="231">
        <f t="shared" si="52"/>
        <v>26648.131709745852</v>
      </c>
      <c r="O120" s="231">
        <f t="shared" si="52"/>
        <v>45947.479477155488</v>
      </c>
    </row>
    <row r="121" spans="1:15" s="232" customFormat="1" ht="19.5" customHeight="1" x14ac:dyDescent="0.3">
      <c r="A121" s="228"/>
      <c r="B121" s="232" t="s">
        <v>743</v>
      </c>
      <c r="C121" s="230"/>
      <c r="D121" s="233">
        <f>D85-C85</f>
        <v>0</v>
      </c>
      <c r="E121" s="233">
        <f t="shared" ref="E121:O121" si="53">E85-D85</f>
        <v>0</v>
      </c>
      <c r="F121" s="231">
        <f t="shared" si="53"/>
        <v>18.13185093755601</v>
      </c>
      <c r="G121" s="231">
        <f t="shared" si="53"/>
        <v>2537.5039651063271</v>
      </c>
      <c r="H121" s="231">
        <f t="shared" si="53"/>
        <v>21181.312834894401</v>
      </c>
      <c r="I121" s="231">
        <f t="shared" si="53"/>
        <v>13630.02340516157</v>
      </c>
      <c r="J121" s="231">
        <f t="shared" si="53"/>
        <v>18542.541063038632</v>
      </c>
      <c r="K121" s="231">
        <f t="shared" si="53"/>
        <v>35237.814759774832</v>
      </c>
      <c r="L121" s="231">
        <f t="shared" si="53"/>
        <v>44782.967087220633</v>
      </c>
      <c r="M121" s="231">
        <f t="shared" si="53"/>
        <v>54594.092271771282</v>
      </c>
      <c r="N121" s="231">
        <f t="shared" si="53"/>
        <v>53217.268524514744</v>
      </c>
      <c r="O121" s="231">
        <f t="shared" si="53"/>
        <v>77598.482064644108</v>
      </c>
    </row>
    <row r="257" spans="2:3" x14ac:dyDescent="0.25">
      <c r="B257" s="158"/>
      <c r="C257" s="158"/>
    </row>
    <row r="258" spans="2:3" x14ac:dyDescent="0.25">
      <c r="B258" s="158"/>
      <c r="C258" s="158"/>
    </row>
    <row r="259" spans="2:3" x14ac:dyDescent="0.25">
      <c r="B259" s="158"/>
      <c r="C259" s="158"/>
    </row>
    <row r="260" spans="2:3" x14ac:dyDescent="0.25">
      <c r="B260" s="158"/>
      <c r="C260" s="158"/>
    </row>
    <row r="261" spans="2:3" x14ac:dyDescent="0.25">
      <c r="B261" s="158"/>
      <c r="C261" s="158"/>
    </row>
    <row r="262" spans="2:3" x14ac:dyDescent="0.25">
      <c r="B262" s="158"/>
      <c r="C262" s="158"/>
    </row>
    <row r="263" spans="2:3" x14ac:dyDescent="0.25">
      <c r="B263" s="158"/>
      <c r="C263" s="158"/>
    </row>
    <row r="264" spans="2:3" x14ac:dyDescent="0.25">
      <c r="B264" s="158"/>
      <c r="C264" s="158"/>
    </row>
    <row r="265" spans="2:3" x14ac:dyDescent="0.25">
      <c r="B265" s="158"/>
      <c r="C265" s="158"/>
    </row>
    <row r="266" spans="2:3" x14ac:dyDescent="0.25">
      <c r="B266" s="158"/>
      <c r="C266" s="158"/>
    </row>
    <row r="267" spans="2:3" x14ac:dyDescent="0.25">
      <c r="B267" s="158"/>
      <c r="C267" s="158"/>
    </row>
    <row r="268" spans="2:3" x14ac:dyDescent="0.25">
      <c r="B268" s="158"/>
      <c r="C268" s="158"/>
    </row>
    <row r="269" spans="2:3" x14ac:dyDescent="0.25">
      <c r="B269" s="158"/>
      <c r="C269" s="158"/>
    </row>
    <row r="270" spans="2:3" x14ac:dyDescent="0.25">
      <c r="B270" s="158"/>
      <c r="C270" s="158"/>
    </row>
    <row r="271" spans="2:3" x14ac:dyDescent="0.25">
      <c r="B271" s="158"/>
      <c r="C271" s="158"/>
    </row>
    <row r="272" spans="2:3" x14ac:dyDescent="0.25">
      <c r="B272" s="158"/>
      <c r="C272" s="158"/>
    </row>
    <row r="273" spans="2:3" x14ac:dyDescent="0.25">
      <c r="B273" s="158"/>
      <c r="C273" s="158"/>
    </row>
    <row r="274" spans="2:3" x14ac:dyDescent="0.25">
      <c r="B274" s="158"/>
      <c r="C274" s="158"/>
    </row>
    <row r="275" spans="2:3" x14ac:dyDescent="0.25">
      <c r="B275" s="158"/>
      <c r="C275" s="158"/>
    </row>
    <row r="276" spans="2:3" x14ac:dyDescent="0.25">
      <c r="B276" s="158"/>
      <c r="C276" s="158"/>
    </row>
    <row r="277" spans="2:3" x14ac:dyDescent="0.25">
      <c r="B277" s="158"/>
      <c r="C277" s="158"/>
    </row>
    <row r="278" spans="2:3" x14ac:dyDescent="0.25">
      <c r="B278" s="158"/>
      <c r="C278" s="158"/>
    </row>
    <row r="279" spans="2:3" x14ac:dyDescent="0.25">
      <c r="B279" s="158"/>
      <c r="C279" s="158"/>
    </row>
    <row r="280" spans="2:3" x14ac:dyDescent="0.25">
      <c r="B280" s="158"/>
      <c r="C280" s="158"/>
    </row>
    <row r="281" spans="2:3" x14ac:dyDescent="0.25">
      <c r="B281" s="158"/>
      <c r="C281" s="158"/>
    </row>
    <row r="282" spans="2:3" x14ac:dyDescent="0.25">
      <c r="B282" s="158"/>
      <c r="C282" s="158"/>
    </row>
    <row r="283" spans="2:3" x14ac:dyDescent="0.25">
      <c r="B283" s="158"/>
      <c r="C283" s="158"/>
    </row>
    <row r="284" spans="2:3" x14ac:dyDescent="0.25">
      <c r="B284" s="158"/>
      <c r="C284" s="158"/>
    </row>
    <row r="285" spans="2:3" x14ac:dyDescent="0.25">
      <c r="B285" s="158"/>
      <c r="C285" s="158"/>
    </row>
    <row r="286" spans="2:3" x14ac:dyDescent="0.25">
      <c r="B286" s="158"/>
      <c r="C286" s="158"/>
    </row>
    <row r="287" spans="2:3" x14ac:dyDescent="0.25">
      <c r="B287" s="158"/>
      <c r="C287" s="158"/>
    </row>
    <row r="288" spans="2:3" x14ac:dyDescent="0.25">
      <c r="B288" s="158"/>
      <c r="C288" s="158"/>
    </row>
    <row r="289" spans="2:3" x14ac:dyDescent="0.25">
      <c r="B289" s="158"/>
      <c r="C289" s="158"/>
    </row>
    <row r="290" spans="2:3" x14ac:dyDescent="0.25">
      <c r="B290" s="158"/>
      <c r="C290" s="158"/>
    </row>
    <row r="291" spans="2:3" x14ac:dyDescent="0.25">
      <c r="B291" s="158"/>
      <c r="C291" s="158"/>
    </row>
    <row r="292" spans="2:3" x14ac:dyDescent="0.25">
      <c r="B292" s="158"/>
      <c r="C292" s="158"/>
    </row>
    <row r="293" spans="2:3" x14ac:dyDescent="0.25">
      <c r="B293" s="158"/>
      <c r="C293" s="158"/>
    </row>
    <row r="294" spans="2:3" x14ac:dyDescent="0.25">
      <c r="B294" s="158"/>
      <c r="C294" s="158"/>
    </row>
    <row r="295" spans="2:3" x14ac:dyDescent="0.25">
      <c r="B295" s="158"/>
      <c r="C295" s="158"/>
    </row>
    <row r="296" spans="2:3" x14ac:dyDescent="0.25">
      <c r="B296" s="158"/>
      <c r="C296" s="158"/>
    </row>
    <row r="297" spans="2:3" x14ac:dyDescent="0.25">
      <c r="B297" s="158"/>
      <c r="C297" s="158"/>
    </row>
    <row r="298" spans="2:3" x14ac:dyDescent="0.25">
      <c r="B298" s="158"/>
      <c r="C298" s="158"/>
    </row>
    <row r="299" spans="2:3" x14ac:dyDescent="0.25">
      <c r="B299" s="158"/>
      <c r="C299" s="158"/>
    </row>
    <row r="300" spans="2:3" x14ac:dyDescent="0.25">
      <c r="B300" s="158"/>
      <c r="C300" s="158"/>
    </row>
    <row r="301" spans="2:3" x14ac:dyDescent="0.25">
      <c r="B301" s="158"/>
      <c r="C301" s="158"/>
    </row>
    <row r="302" spans="2:3" x14ac:dyDescent="0.25">
      <c r="B302" s="158"/>
      <c r="C302" s="158"/>
    </row>
    <row r="303" spans="2:3" x14ac:dyDescent="0.25">
      <c r="B303" s="158"/>
      <c r="C303" s="158"/>
    </row>
    <row r="304" spans="2:3" x14ac:dyDescent="0.25">
      <c r="B304" s="158"/>
      <c r="C304" s="158"/>
    </row>
    <row r="305" spans="2:3" x14ac:dyDescent="0.25">
      <c r="B305" s="158"/>
      <c r="C305" s="158"/>
    </row>
    <row r="306" spans="2:3" x14ac:dyDescent="0.25">
      <c r="B306" s="158"/>
      <c r="C306" s="158"/>
    </row>
    <row r="307" spans="2:3" x14ac:dyDescent="0.25">
      <c r="B307" s="158"/>
      <c r="C307" s="158"/>
    </row>
    <row r="308" spans="2:3" x14ac:dyDescent="0.25">
      <c r="B308" s="158"/>
      <c r="C308" s="158"/>
    </row>
    <row r="309" spans="2:3" x14ac:dyDescent="0.25">
      <c r="B309" s="158"/>
      <c r="C309" s="158"/>
    </row>
    <row r="310" spans="2:3" x14ac:dyDescent="0.25">
      <c r="B310" s="158"/>
      <c r="C310" s="158"/>
    </row>
    <row r="311" spans="2:3" x14ac:dyDescent="0.25">
      <c r="B311" s="158"/>
      <c r="C311" s="158"/>
    </row>
    <row r="312" spans="2:3" x14ac:dyDescent="0.25">
      <c r="B312" s="158"/>
      <c r="C312" s="158"/>
    </row>
    <row r="313" spans="2:3" x14ac:dyDescent="0.25">
      <c r="B313" s="158"/>
      <c r="C313" s="158"/>
    </row>
    <row r="314" spans="2:3" x14ac:dyDescent="0.25">
      <c r="B314" s="158"/>
      <c r="C314" s="158"/>
    </row>
    <row r="315" spans="2:3" x14ac:dyDescent="0.25">
      <c r="B315" s="158"/>
      <c r="C315" s="158"/>
    </row>
    <row r="316" spans="2:3" x14ac:dyDescent="0.25">
      <c r="B316" s="158"/>
      <c r="C316" s="158"/>
    </row>
    <row r="317" spans="2:3" x14ac:dyDescent="0.25">
      <c r="B317" s="158"/>
      <c r="C317" s="158"/>
    </row>
    <row r="318" spans="2:3" x14ac:dyDescent="0.25">
      <c r="B318" s="158"/>
      <c r="C318" s="158"/>
    </row>
    <row r="319" spans="2:3" x14ac:dyDescent="0.25">
      <c r="B319" s="158"/>
      <c r="C319" s="158"/>
    </row>
    <row r="320" spans="2:3" x14ac:dyDescent="0.25">
      <c r="B320" s="158"/>
      <c r="C320" s="158"/>
    </row>
    <row r="321" spans="2:3" x14ac:dyDescent="0.25">
      <c r="B321" s="158"/>
      <c r="C321" s="158"/>
    </row>
    <row r="322" spans="2:3" x14ac:dyDescent="0.25">
      <c r="B322" s="158"/>
      <c r="C322" s="158"/>
    </row>
    <row r="323" spans="2:3" x14ac:dyDescent="0.25">
      <c r="B323" s="158"/>
      <c r="C323" s="158"/>
    </row>
    <row r="324" spans="2:3" x14ac:dyDescent="0.25">
      <c r="B324" s="158"/>
      <c r="C324" s="158"/>
    </row>
    <row r="325" spans="2:3" x14ac:dyDescent="0.25">
      <c r="B325" s="158"/>
      <c r="C325" s="158"/>
    </row>
    <row r="326" spans="2:3" x14ac:dyDescent="0.25">
      <c r="B326" s="158"/>
      <c r="C326" s="158"/>
    </row>
    <row r="327" spans="2:3" x14ac:dyDescent="0.25">
      <c r="B327" s="158"/>
      <c r="C327" s="158"/>
    </row>
    <row r="328" spans="2:3" x14ac:dyDescent="0.25">
      <c r="B328" s="158"/>
      <c r="C328" s="158"/>
    </row>
    <row r="329" spans="2:3" x14ac:dyDescent="0.25">
      <c r="B329" s="158"/>
      <c r="C329" s="158"/>
    </row>
    <row r="330" spans="2:3" x14ac:dyDescent="0.25">
      <c r="B330" s="158"/>
      <c r="C330" s="158"/>
    </row>
    <row r="331" spans="2:3" x14ac:dyDescent="0.25">
      <c r="B331" s="158"/>
      <c r="C331" s="158"/>
    </row>
    <row r="332" spans="2:3" x14ac:dyDescent="0.25">
      <c r="B332" s="158"/>
      <c r="C332" s="158"/>
    </row>
    <row r="333" spans="2:3" x14ac:dyDescent="0.25">
      <c r="B333" s="158"/>
      <c r="C333" s="158"/>
    </row>
    <row r="334" spans="2:3" x14ac:dyDescent="0.25">
      <c r="B334" s="158"/>
      <c r="C334" s="158"/>
    </row>
    <row r="335" spans="2:3" x14ac:dyDescent="0.25">
      <c r="B335" s="158"/>
      <c r="C335" s="158"/>
    </row>
    <row r="336" spans="2:3" x14ac:dyDescent="0.25">
      <c r="B336" s="158"/>
      <c r="C336" s="158"/>
    </row>
    <row r="337" spans="2:3" x14ac:dyDescent="0.25">
      <c r="B337" s="158"/>
      <c r="C337" s="158"/>
    </row>
    <row r="338" spans="2:3" x14ac:dyDescent="0.25">
      <c r="B338" s="158"/>
      <c r="C338" s="158"/>
    </row>
    <row r="339" spans="2:3" x14ac:dyDescent="0.25">
      <c r="B339" s="158"/>
      <c r="C339" s="158"/>
    </row>
    <row r="340" spans="2:3" x14ac:dyDescent="0.25">
      <c r="B340" s="158"/>
      <c r="C340" s="158"/>
    </row>
    <row r="341" spans="2:3" x14ac:dyDescent="0.25">
      <c r="B341" s="158"/>
      <c r="C341" s="158"/>
    </row>
    <row r="342" spans="2:3" x14ac:dyDescent="0.25">
      <c r="B342" s="158"/>
      <c r="C342" s="158"/>
    </row>
    <row r="343" spans="2:3" x14ac:dyDescent="0.25">
      <c r="B343" s="158"/>
      <c r="C343" s="158"/>
    </row>
    <row r="344" spans="2:3" x14ac:dyDescent="0.25">
      <c r="B344" s="158"/>
      <c r="C344" s="158"/>
    </row>
    <row r="345" spans="2:3" x14ac:dyDescent="0.25">
      <c r="B345" s="158"/>
      <c r="C345" s="158"/>
    </row>
    <row r="346" spans="2:3" x14ac:dyDescent="0.25">
      <c r="B346" s="158"/>
      <c r="C346" s="158"/>
    </row>
    <row r="347" spans="2:3" x14ac:dyDescent="0.25">
      <c r="B347" s="158"/>
      <c r="C347" s="158"/>
    </row>
    <row r="348" spans="2:3" x14ac:dyDescent="0.25">
      <c r="B348" s="158"/>
      <c r="C348" s="158"/>
    </row>
    <row r="349" spans="2:3" x14ac:dyDescent="0.25">
      <c r="B349" s="158"/>
      <c r="C349" s="158"/>
    </row>
    <row r="350" spans="2:3" x14ac:dyDescent="0.25">
      <c r="B350" s="158"/>
      <c r="C350" s="158"/>
    </row>
    <row r="351" spans="2:3" x14ac:dyDescent="0.25">
      <c r="B351" s="158"/>
      <c r="C351" s="158"/>
    </row>
    <row r="352" spans="2:3" x14ac:dyDescent="0.25">
      <c r="B352" s="158"/>
      <c r="C352" s="158"/>
    </row>
    <row r="353" spans="2:3" x14ac:dyDescent="0.25">
      <c r="B353" s="158"/>
      <c r="C353" s="158"/>
    </row>
    <row r="354" spans="2:3" x14ac:dyDescent="0.25">
      <c r="B354" s="158"/>
      <c r="C354" s="158"/>
    </row>
    <row r="355" spans="2:3" x14ac:dyDescent="0.25">
      <c r="B355" s="158"/>
      <c r="C355" s="158"/>
    </row>
    <row r="356" spans="2:3" x14ac:dyDescent="0.25">
      <c r="B356" s="158"/>
      <c r="C356" s="158"/>
    </row>
    <row r="357" spans="2:3" x14ac:dyDescent="0.25">
      <c r="B357" s="158"/>
      <c r="C357" s="158"/>
    </row>
    <row r="358" spans="2:3" x14ac:dyDescent="0.25">
      <c r="B358" s="158"/>
      <c r="C358" s="158"/>
    </row>
    <row r="359" spans="2:3" x14ac:dyDescent="0.25">
      <c r="B359" s="158"/>
      <c r="C359" s="158"/>
    </row>
    <row r="360" spans="2:3" x14ac:dyDescent="0.25">
      <c r="B360" s="158"/>
      <c r="C360" s="158"/>
    </row>
    <row r="361" spans="2:3" x14ac:dyDescent="0.25">
      <c r="B361" s="158"/>
      <c r="C361" s="158"/>
    </row>
    <row r="362" spans="2:3" x14ac:dyDescent="0.25">
      <c r="B362" s="158"/>
      <c r="C362" s="158"/>
    </row>
    <row r="363" spans="2:3" x14ac:dyDescent="0.25">
      <c r="B363" s="158"/>
      <c r="C363" s="158"/>
    </row>
    <row r="364" spans="2:3" x14ac:dyDescent="0.25">
      <c r="B364" s="158"/>
      <c r="C364" s="158"/>
    </row>
    <row r="365" spans="2:3" x14ac:dyDescent="0.25">
      <c r="B365" s="158"/>
      <c r="C365" s="158"/>
    </row>
    <row r="366" spans="2:3" x14ac:dyDescent="0.25">
      <c r="B366" s="158"/>
      <c r="C366" s="158"/>
    </row>
    <row r="367" spans="2:3" x14ac:dyDescent="0.25">
      <c r="B367" s="158"/>
      <c r="C367" s="158"/>
    </row>
    <row r="368" spans="2:3" x14ac:dyDescent="0.25">
      <c r="B368" s="158"/>
      <c r="C368" s="158"/>
    </row>
    <row r="369" spans="2:3" x14ac:dyDescent="0.25">
      <c r="B369" s="158"/>
      <c r="C369" s="158"/>
    </row>
    <row r="370" spans="2:3" x14ac:dyDescent="0.25">
      <c r="B370" s="158"/>
      <c r="C370" s="158"/>
    </row>
    <row r="371" spans="2:3" x14ac:dyDescent="0.25">
      <c r="B371" s="158"/>
      <c r="C371" s="158"/>
    </row>
    <row r="372" spans="2:3" x14ac:dyDescent="0.25">
      <c r="B372" s="158"/>
      <c r="C372" s="158"/>
    </row>
    <row r="373" spans="2:3" x14ac:dyDescent="0.25">
      <c r="B373" s="158"/>
      <c r="C373" s="158"/>
    </row>
    <row r="374" spans="2:3" x14ac:dyDescent="0.25">
      <c r="B374" s="158"/>
      <c r="C374" s="158"/>
    </row>
    <row r="375" spans="2:3" x14ac:dyDescent="0.25">
      <c r="B375" s="158"/>
      <c r="C375" s="158"/>
    </row>
    <row r="376" spans="2:3" x14ac:dyDescent="0.25">
      <c r="B376" s="158"/>
      <c r="C376" s="158"/>
    </row>
    <row r="377" spans="2:3" x14ac:dyDescent="0.25">
      <c r="B377" s="158"/>
      <c r="C377" s="158"/>
    </row>
    <row r="378" spans="2:3" x14ac:dyDescent="0.25">
      <c r="B378" s="158"/>
      <c r="C378" s="158"/>
    </row>
    <row r="379" spans="2:3" x14ac:dyDescent="0.25">
      <c r="B379" s="158"/>
      <c r="C379" s="158"/>
    </row>
    <row r="380" spans="2:3" x14ac:dyDescent="0.25">
      <c r="B380" s="158"/>
      <c r="C380" s="158"/>
    </row>
    <row r="381" spans="2:3" x14ac:dyDescent="0.25">
      <c r="B381" s="158"/>
      <c r="C381" s="158"/>
    </row>
    <row r="382" spans="2:3" x14ac:dyDescent="0.25">
      <c r="B382" s="158"/>
      <c r="C382" s="158"/>
    </row>
    <row r="383" spans="2:3" x14ac:dyDescent="0.25">
      <c r="B383" s="158"/>
      <c r="C383" s="158"/>
    </row>
    <row r="384" spans="2:3" x14ac:dyDescent="0.25">
      <c r="B384" s="158"/>
      <c r="C384" s="158"/>
    </row>
    <row r="385" spans="2:3" x14ac:dyDescent="0.25">
      <c r="B385" s="158"/>
      <c r="C385" s="158"/>
    </row>
    <row r="386" spans="2:3" x14ac:dyDescent="0.25">
      <c r="B386" s="158"/>
      <c r="C386" s="158"/>
    </row>
    <row r="387" spans="2:3" x14ac:dyDescent="0.25">
      <c r="B387" s="158"/>
      <c r="C387" s="158"/>
    </row>
    <row r="388" spans="2:3" x14ac:dyDescent="0.25">
      <c r="B388" s="158"/>
      <c r="C388" s="158"/>
    </row>
    <row r="389" spans="2:3" x14ac:dyDescent="0.25">
      <c r="B389" s="158"/>
      <c r="C389" s="158"/>
    </row>
    <row r="390" spans="2:3" x14ac:dyDescent="0.25">
      <c r="B390" s="158"/>
      <c r="C390" s="158"/>
    </row>
    <row r="391" spans="2:3" x14ac:dyDescent="0.25">
      <c r="B391" s="158"/>
      <c r="C391" s="158"/>
    </row>
    <row r="392" spans="2:3" x14ac:dyDescent="0.25">
      <c r="B392" s="158"/>
      <c r="C392" s="158"/>
    </row>
    <row r="393" spans="2:3" x14ac:dyDescent="0.25">
      <c r="B393" s="158"/>
      <c r="C393" s="158"/>
    </row>
    <row r="394" spans="2:3" x14ac:dyDescent="0.25">
      <c r="B394" s="158"/>
      <c r="C394" s="158"/>
    </row>
    <row r="395" spans="2:3" x14ac:dyDescent="0.25">
      <c r="B395" s="158"/>
      <c r="C395" s="158"/>
    </row>
    <row r="396" spans="2:3" x14ac:dyDescent="0.25">
      <c r="B396" s="158"/>
      <c r="C396" s="158"/>
    </row>
    <row r="397" spans="2:3" x14ac:dyDescent="0.25">
      <c r="B397" s="158"/>
      <c r="C397" s="158"/>
    </row>
    <row r="398" spans="2:3" x14ac:dyDescent="0.25">
      <c r="B398" s="158"/>
      <c r="C398" s="158"/>
    </row>
    <row r="399" spans="2:3" x14ac:dyDescent="0.25">
      <c r="B399" s="158"/>
      <c r="C399" s="158"/>
    </row>
    <row r="400" spans="2:3" x14ac:dyDescent="0.25">
      <c r="B400" s="158"/>
      <c r="C400" s="158"/>
    </row>
    <row r="401" spans="2:3" x14ac:dyDescent="0.25">
      <c r="B401" s="158"/>
      <c r="C401" s="158"/>
    </row>
    <row r="402" spans="2:3" x14ac:dyDescent="0.25">
      <c r="B402" s="158"/>
      <c r="C402" s="158"/>
    </row>
    <row r="403" spans="2:3" x14ac:dyDescent="0.25">
      <c r="B403" s="158"/>
      <c r="C403" s="158"/>
    </row>
    <row r="404" spans="2:3" x14ac:dyDescent="0.25">
      <c r="B404" s="158"/>
      <c r="C404" s="158"/>
    </row>
    <row r="405" spans="2:3" x14ac:dyDescent="0.25">
      <c r="B405" s="158"/>
      <c r="C405" s="158"/>
    </row>
    <row r="406" spans="2:3" x14ac:dyDescent="0.25">
      <c r="B406" s="158"/>
      <c r="C406" s="158"/>
    </row>
    <row r="407" spans="2:3" x14ac:dyDescent="0.25">
      <c r="B407" s="158"/>
      <c r="C407" s="158"/>
    </row>
    <row r="408" spans="2:3" x14ac:dyDescent="0.25">
      <c r="B408" s="158"/>
      <c r="C408" s="158"/>
    </row>
    <row r="409" spans="2:3" x14ac:dyDescent="0.25">
      <c r="B409" s="158"/>
      <c r="C409" s="158"/>
    </row>
    <row r="410" spans="2:3" x14ac:dyDescent="0.25">
      <c r="B410" s="158"/>
      <c r="C410" s="158"/>
    </row>
    <row r="411" spans="2:3" x14ac:dyDescent="0.25">
      <c r="B411" s="158"/>
      <c r="C411" s="158"/>
    </row>
    <row r="412" spans="2:3" x14ac:dyDescent="0.25">
      <c r="B412" s="158"/>
      <c r="C412" s="158"/>
    </row>
    <row r="413" spans="2:3" x14ac:dyDescent="0.25">
      <c r="B413" s="158"/>
      <c r="C413" s="158"/>
    </row>
    <row r="414" spans="2:3" x14ac:dyDescent="0.25">
      <c r="B414" s="158"/>
      <c r="C414" s="158"/>
    </row>
    <row r="415" spans="2:3" x14ac:dyDescent="0.25">
      <c r="B415" s="158"/>
      <c r="C415" s="158"/>
    </row>
    <row r="416" spans="2:3" x14ac:dyDescent="0.25">
      <c r="B416" s="158"/>
      <c r="C416" s="158"/>
    </row>
    <row r="417" spans="2:3" x14ac:dyDescent="0.25">
      <c r="B417" s="158"/>
      <c r="C417" s="158"/>
    </row>
    <row r="418" spans="2:3" x14ac:dyDescent="0.25">
      <c r="B418" s="158"/>
      <c r="C418" s="158"/>
    </row>
    <row r="419" spans="2:3" x14ac:dyDescent="0.25">
      <c r="B419" s="158"/>
      <c r="C419" s="158"/>
    </row>
    <row r="420" spans="2:3" x14ac:dyDescent="0.25">
      <c r="B420" s="158"/>
      <c r="C420" s="158"/>
    </row>
    <row r="421" spans="2:3" x14ac:dyDescent="0.25">
      <c r="B421" s="158"/>
      <c r="C421" s="158"/>
    </row>
    <row r="422" spans="2:3" x14ac:dyDescent="0.25">
      <c r="B422" s="158"/>
      <c r="C422" s="158"/>
    </row>
    <row r="423" spans="2:3" x14ac:dyDescent="0.25">
      <c r="B423" s="158"/>
      <c r="C423" s="158"/>
    </row>
    <row r="424" spans="2:3" x14ac:dyDescent="0.25">
      <c r="B424" s="158"/>
      <c r="C424" s="158"/>
    </row>
    <row r="425" spans="2:3" x14ac:dyDescent="0.25">
      <c r="B425" s="158"/>
      <c r="C425" s="158"/>
    </row>
    <row r="426" spans="2:3" x14ac:dyDescent="0.25">
      <c r="B426" s="158"/>
      <c r="C426" s="158"/>
    </row>
    <row r="427" spans="2:3" x14ac:dyDescent="0.25">
      <c r="B427" s="158"/>
      <c r="C427" s="158"/>
    </row>
    <row r="428" spans="2:3" x14ac:dyDescent="0.25">
      <c r="B428" s="158"/>
      <c r="C428" s="158"/>
    </row>
    <row r="429" spans="2:3" x14ac:dyDescent="0.25">
      <c r="B429" s="158"/>
      <c r="C429" s="158"/>
    </row>
    <row r="430" spans="2:3" x14ac:dyDescent="0.25">
      <c r="B430" s="158"/>
      <c r="C430" s="158"/>
    </row>
    <row r="431" spans="2:3" x14ac:dyDescent="0.25">
      <c r="B431" s="158"/>
      <c r="C431" s="158"/>
    </row>
    <row r="432" spans="2:3" x14ac:dyDescent="0.25">
      <c r="B432" s="158"/>
      <c r="C432" s="158"/>
    </row>
    <row r="433" spans="2:3" x14ac:dyDescent="0.25">
      <c r="B433" s="158"/>
      <c r="C433" s="158"/>
    </row>
    <row r="434" spans="2:3" x14ac:dyDescent="0.25">
      <c r="B434" s="158"/>
      <c r="C434" s="158"/>
    </row>
    <row r="435" spans="2:3" x14ac:dyDescent="0.25">
      <c r="B435" s="158"/>
      <c r="C435" s="158"/>
    </row>
    <row r="436" spans="2:3" x14ac:dyDescent="0.25">
      <c r="B436" s="158"/>
      <c r="C436" s="158"/>
    </row>
    <row r="437" spans="2:3" x14ac:dyDescent="0.25">
      <c r="B437" s="158"/>
      <c r="C437" s="158"/>
    </row>
    <row r="438" spans="2:3" x14ac:dyDescent="0.25">
      <c r="B438" s="158"/>
      <c r="C438" s="158"/>
    </row>
    <row r="439" spans="2:3" x14ac:dyDescent="0.25">
      <c r="B439" s="158"/>
      <c r="C439" s="158"/>
    </row>
    <row r="440" spans="2:3" x14ac:dyDescent="0.25">
      <c r="B440" s="158"/>
      <c r="C440" s="158"/>
    </row>
    <row r="441" spans="2:3" x14ac:dyDescent="0.25">
      <c r="B441" s="158"/>
      <c r="C441" s="158"/>
    </row>
    <row r="442" spans="2:3" x14ac:dyDescent="0.25">
      <c r="B442" s="158"/>
      <c r="C442" s="158"/>
    </row>
    <row r="443" spans="2:3" x14ac:dyDescent="0.25">
      <c r="B443" s="158"/>
      <c r="C443" s="158"/>
    </row>
    <row r="444" spans="2:3" x14ac:dyDescent="0.25">
      <c r="B444" s="158"/>
      <c r="C444" s="158"/>
    </row>
    <row r="445" spans="2:3" x14ac:dyDescent="0.25">
      <c r="B445" s="158"/>
      <c r="C445" s="158"/>
    </row>
    <row r="446" spans="2:3" x14ac:dyDescent="0.25">
      <c r="B446" s="158"/>
      <c r="C446" s="158"/>
    </row>
    <row r="447" spans="2:3" x14ac:dyDescent="0.25">
      <c r="B447" s="158"/>
      <c r="C447" s="158"/>
    </row>
    <row r="448" spans="2:3" x14ac:dyDescent="0.25">
      <c r="B448" s="158"/>
      <c r="C448" s="158"/>
    </row>
    <row r="449" spans="2:3" x14ac:dyDescent="0.25">
      <c r="B449" s="158"/>
      <c r="C449" s="158"/>
    </row>
    <row r="450" spans="2:3" x14ac:dyDescent="0.25">
      <c r="B450" s="158"/>
      <c r="C450" s="158"/>
    </row>
    <row r="451" spans="2:3" x14ac:dyDescent="0.25">
      <c r="B451" s="158"/>
      <c r="C451" s="158"/>
    </row>
    <row r="452" spans="2:3" x14ac:dyDescent="0.25">
      <c r="B452" s="158"/>
      <c r="C452" s="158"/>
    </row>
    <row r="453" spans="2:3" x14ac:dyDescent="0.25">
      <c r="B453" s="158"/>
      <c r="C453" s="158"/>
    </row>
    <row r="454" spans="2:3" x14ac:dyDescent="0.25">
      <c r="B454" s="158"/>
      <c r="C454" s="158"/>
    </row>
    <row r="455" spans="2:3" x14ac:dyDescent="0.25">
      <c r="B455" s="158"/>
      <c r="C455" s="158"/>
    </row>
    <row r="456" spans="2:3" x14ac:dyDescent="0.25">
      <c r="B456" s="158"/>
      <c r="C456" s="158"/>
    </row>
    <row r="457" spans="2:3" x14ac:dyDescent="0.25">
      <c r="B457" s="158"/>
      <c r="C457" s="158"/>
    </row>
    <row r="458" spans="2:3" x14ac:dyDescent="0.25">
      <c r="B458" s="158"/>
      <c r="C458" s="158"/>
    </row>
    <row r="459" spans="2:3" x14ac:dyDescent="0.25">
      <c r="B459" s="158"/>
      <c r="C459" s="158"/>
    </row>
    <row r="460" spans="2:3" x14ac:dyDescent="0.25">
      <c r="B460" s="158"/>
      <c r="C460" s="158"/>
    </row>
    <row r="461" spans="2:3" x14ac:dyDescent="0.25">
      <c r="B461" s="158"/>
      <c r="C461" s="158"/>
    </row>
    <row r="462" spans="2:3" x14ac:dyDescent="0.25">
      <c r="B462" s="158"/>
      <c r="C462" s="158"/>
    </row>
    <row r="463" spans="2:3" x14ac:dyDescent="0.25">
      <c r="B463" s="158"/>
      <c r="C463" s="158"/>
    </row>
    <row r="464" spans="2:3" x14ac:dyDescent="0.25">
      <c r="B464" s="158"/>
      <c r="C464" s="158"/>
    </row>
    <row r="465" spans="2:3" x14ac:dyDescent="0.25">
      <c r="B465" s="158"/>
      <c r="C465" s="158"/>
    </row>
    <row r="466" spans="2:3" x14ac:dyDescent="0.25">
      <c r="B466" s="158"/>
      <c r="C466" s="158"/>
    </row>
    <row r="467" spans="2:3" x14ac:dyDescent="0.25">
      <c r="B467" s="158"/>
      <c r="C467" s="158"/>
    </row>
    <row r="468" spans="2:3" x14ac:dyDescent="0.25">
      <c r="B468" s="158"/>
      <c r="C468" s="158"/>
    </row>
    <row r="469" spans="2:3" x14ac:dyDescent="0.25">
      <c r="B469" s="158"/>
      <c r="C469" s="158"/>
    </row>
    <row r="470" spans="2:3" x14ac:dyDescent="0.25">
      <c r="B470" s="158"/>
      <c r="C470" s="158"/>
    </row>
    <row r="471" spans="2:3" x14ac:dyDescent="0.25">
      <c r="B471" s="158"/>
      <c r="C471" s="158"/>
    </row>
    <row r="472" spans="2:3" x14ac:dyDescent="0.25">
      <c r="B472" s="158"/>
      <c r="C472" s="158"/>
    </row>
    <row r="473" spans="2:3" x14ac:dyDescent="0.25">
      <c r="B473" s="158"/>
      <c r="C473" s="158"/>
    </row>
    <row r="474" spans="2:3" x14ac:dyDescent="0.25">
      <c r="B474" s="158"/>
      <c r="C474" s="158"/>
    </row>
    <row r="475" spans="2:3" x14ac:dyDescent="0.25">
      <c r="B475" s="158"/>
      <c r="C475" s="158"/>
    </row>
    <row r="476" spans="2:3" x14ac:dyDescent="0.25">
      <c r="B476" s="158"/>
      <c r="C476" s="158"/>
    </row>
    <row r="477" spans="2:3" x14ac:dyDescent="0.25">
      <c r="B477" s="158"/>
      <c r="C477" s="158"/>
    </row>
    <row r="478" spans="2:3" x14ac:dyDescent="0.25">
      <c r="B478" s="158"/>
      <c r="C478" s="158"/>
    </row>
    <row r="479" spans="2:3" x14ac:dyDescent="0.25">
      <c r="B479" s="158"/>
      <c r="C479" s="158"/>
    </row>
    <row r="480" spans="2:3" x14ac:dyDescent="0.25">
      <c r="B480" s="158"/>
      <c r="C480" s="158"/>
    </row>
    <row r="481" spans="2:3" x14ac:dyDescent="0.25">
      <c r="B481" s="158"/>
      <c r="C481" s="158"/>
    </row>
    <row r="482" spans="2:3" x14ac:dyDescent="0.25">
      <c r="B482" s="158"/>
      <c r="C482" s="158"/>
    </row>
    <row r="483" spans="2:3" x14ac:dyDescent="0.25">
      <c r="B483" s="158"/>
      <c r="C483" s="158"/>
    </row>
    <row r="484" spans="2:3" x14ac:dyDescent="0.25">
      <c r="B484" s="158"/>
      <c r="C484" s="158"/>
    </row>
    <row r="485" spans="2:3" x14ac:dyDescent="0.25">
      <c r="B485" s="158"/>
      <c r="C485" s="158"/>
    </row>
    <row r="486" spans="2:3" x14ac:dyDescent="0.25">
      <c r="B486" s="158"/>
      <c r="C486" s="158"/>
    </row>
    <row r="487" spans="2:3" x14ac:dyDescent="0.25">
      <c r="B487" s="158"/>
      <c r="C487" s="158"/>
    </row>
    <row r="488" spans="2:3" x14ac:dyDescent="0.25">
      <c r="B488" s="158"/>
      <c r="C488" s="158"/>
    </row>
    <row r="489" spans="2:3" x14ac:dyDescent="0.25">
      <c r="B489" s="158"/>
      <c r="C489" s="158"/>
    </row>
  </sheetData>
  <mergeCells count="3">
    <mergeCell ref="A96:B96"/>
    <mergeCell ref="A105:B105"/>
    <mergeCell ref="A114:B114"/>
  </mergeCells>
  <conditionalFormatting sqref="D112:O112 D105:O110">
    <cfRule type="cellIs" dxfId="1" priority="2" operator="lessThanOrEqual">
      <formula>0</formula>
    </cfRule>
  </conditionalFormatting>
  <conditionalFormatting sqref="D111:O111">
    <cfRule type="cellIs" dxfId="0" priority="1" operator="lessThanOrEqual">
      <formula>0</formula>
    </cfRule>
  </conditionalFormatting>
  <printOptions horizontalCentered="1"/>
  <pageMargins left="0.7" right="0.7" top="0.75" bottom="0.75" header="0.3" footer="0.3"/>
  <pageSetup paperSize="17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H224"/>
  <sheetViews>
    <sheetView workbookViewId="0">
      <selection activeCell="C179" sqref="C179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5.5703125" bestFit="1" customWidth="1"/>
    <col min="5" max="16" width="12.71093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Site3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 t="shared" ref="F5:P5" si="1">F4+E5</f>
        <v>0.02</v>
      </c>
      <c r="G5" s="81">
        <f t="shared" si="1"/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1.05</v>
      </c>
      <c r="F13" s="94">
        <f>E13</f>
        <v>1.05</v>
      </c>
      <c r="G13" s="94">
        <f t="shared" ref="G13:P16" si="8">F13</f>
        <v>1.05</v>
      </c>
      <c r="H13" s="64">
        <f t="shared" si="8"/>
        <v>1.05</v>
      </c>
      <c r="I13" s="64">
        <f t="shared" si="8"/>
        <v>1.05</v>
      </c>
      <c r="J13" s="64">
        <f t="shared" si="8"/>
        <v>1.05</v>
      </c>
      <c r="K13" s="64">
        <f t="shared" si="8"/>
        <v>1.05</v>
      </c>
      <c r="L13" s="64">
        <f t="shared" si="8"/>
        <v>1.05</v>
      </c>
      <c r="M13" s="64">
        <f t="shared" si="8"/>
        <v>1.05</v>
      </c>
      <c r="N13" s="64">
        <f t="shared" si="8"/>
        <v>1.05</v>
      </c>
      <c r="O13" s="64">
        <f t="shared" si="8"/>
        <v>1.05</v>
      </c>
      <c r="P13" s="64">
        <f t="shared" si="8"/>
        <v>1.05</v>
      </c>
    </row>
    <row r="14" spans="1:60" x14ac:dyDescent="0.25">
      <c r="A14" s="30"/>
      <c r="B14" t="s">
        <v>141</v>
      </c>
      <c r="E14" s="93">
        <v>0.65</v>
      </c>
      <c r="F14" s="64">
        <f>E14</f>
        <v>0.65</v>
      </c>
      <c r="G14" s="64">
        <f t="shared" si="8"/>
        <v>0.65</v>
      </c>
      <c r="H14" s="64">
        <f t="shared" si="8"/>
        <v>0.65</v>
      </c>
      <c r="I14" s="64">
        <f t="shared" si="8"/>
        <v>0.65</v>
      </c>
      <c r="J14" s="64">
        <f t="shared" si="8"/>
        <v>0.65</v>
      </c>
      <c r="K14" s="64">
        <f t="shared" si="8"/>
        <v>0.65</v>
      </c>
      <c r="L14" s="64">
        <f t="shared" si="8"/>
        <v>0.65</v>
      </c>
      <c r="M14" s="64">
        <f t="shared" si="8"/>
        <v>0.65</v>
      </c>
      <c r="N14" s="64">
        <f t="shared" si="8"/>
        <v>0.65</v>
      </c>
      <c r="O14" s="64">
        <f t="shared" si="8"/>
        <v>0.65</v>
      </c>
      <c r="P14" s="64">
        <f t="shared" si="8"/>
        <v>0.65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 t="shared" ref="E17:P17" si="10">E13*E182</f>
        <v>89.25</v>
      </c>
      <c r="F17" s="31">
        <f t="shared" si="10"/>
        <v>115.5</v>
      </c>
      <c r="G17" s="31">
        <f t="shared" si="10"/>
        <v>126</v>
      </c>
      <c r="H17" s="31">
        <f t="shared" si="10"/>
        <v>132.30000000000001</v>
      </c>
      <c r="I17" s="31">
        <f t="shared" si="10"/>
        <v>138.6</v>
      </c>
      <c r="J17" s="31">
        <f t="shared" si="10"/>
        <v>145.95000000000002</v>
      </c>
      <c r="K17" s="31">
        <f t="shared" si="10"/>
        <v>153.30000000000001</v>
      </c>
      <c r="L17" s="31">
        <f t="shared" si="10"/>
        <v>160.65</v>
      </c>
      <c r="M17" s="31">
        <f t="shared" si="10"/>
        <v>169.05</v>
      </c>
      <c r="N17" s="31">
        <f t="shared" si="10"/>
        <v>177.45000000000002</v>
      </c>
      <c r="O17" s="31">
        <f t="shared" si="10"/>
        <v>185.85</v>
      </c>
      <c r="P17" s="31">
        <f t="shared" si="10"/>
        <v>195.3</v>
      </c>
    </row>
    <row r="18" spans="1:16" x14ac:dyDescent="0.25">
      <c r="A18" s="30"/>
      <c r="B18" s="18" t="s">
        <v>145</v>
      </c>
      <c r="E18" s="31">
        <f>+E17*E14</f>
        <v>58.012500000000003</v>
      </c>
      <c r="F18" s="31">
        <f>+F17*F14</f>
        <v>75.075000000000003</v>
      </c>
      <c r="G18" s="31">
        <f>+G17*G14</f>
        <v>81.900000000000006</v>
      </c>
      <c r="H18" s="31">
        <f>+H17*H14</f>
        <v>85.995000000000005</v>
      </c>
      <c r="I18" s="31">
        <f>+I17*I14</f>
        <v>90.09</v>
      </c>
      <c r="J18" s="31">
        <f t="shared" ref="J18:P18" si="11">+J17*J14</f>
        <v>94.867500000000021</v>
      </c>
      <c r="K18" s="31">
        <f t="shared" si="11"/>
        <v>99.64500000000001</v>
      </c>
      <c r="L18" s="31">
        <f t="shared" si="11"/>
        <v>104.42250000000001</v>
      </c>
      <c r="M18" s="31">
        <f t="shared" si="11"/>
        <v>109.88250000000001</v>
      </c>
      <c r="N18" s="31">
        <f t="shared" si="11"/>
        <v>115.34250000000002</v>
      </c>
      <c r="O18" s="31">
        <f t="shared" si="11"/>
        <v>120.80249999999999</v>
      </c>
      <c r="P18" s="31">
        <f t="shared" si="11"/>
        <v>126.94500000000001</v>
      </c>
    </row>
    <row r="19" spans="1:16" x14ac:dyDescent="0.25">
      <c r="A19" s="30"/>
      <c r="B19" s="18" t="s">
        <v>146</v>
      </c>
      <c r="E19" s="31">
        <f t="shared" ref="E19:P19" si="12">E182*E15</f>
        <v>8.5</v>
      </c>
      <c r="F19" s="31">
        <f t="shared" si="12"/>
        <v>11</v>
      </c>
      <c r="G19" s="31">
        <f t="shared" si="12"/>
        <v>12</v>
      </c>
      <c r="H19" s="31">
        <f t="shared" si="12"/>
        <v>12.600000000000001</v>
      </c>
      <c r="I19" s="31">
        <f t="shared" si="12"/>
        <v>13.200000000000001</v>
      </c>
      <c r="J19" s="31">
        <f t="shared" si="12"/>
        <v>13.9</v>
      </c>
      <c r="K19" s="31">
        <f t="shared" si="12"/>
        <v>14.600000000000001</v>
      </c>
      <c r="L19" s="31">
        <f t="shared" si="12"/>
        <v>15.3</v>
      </c>
      <c r="M19" s="31">
        <f t="shared" si="12"/>
        <v>16.100000000000001</v>
      </c>
      <c r="N19" s="31">
        <f t="shared" si="12"/>
        <v>16.900000000000002</v>
      </c>
      <c r="O19" s="31">
        <f t="shared" si="12"/>
        <v>17.7</v>
      </c>
      <c r="P19" s="31">
        <f t="shared" si="12"/>
        <v>18.600000000000001</v>
      </c>
    </row>
    <row r="20" spans="1:16" x14ac:dyDescent="0.25">
      <c r="A20" s="30"/>
      <c r="B20" s="18" t="s">
        <v>147</v>
      </c>
      <c r="E20" s="31">
        <f t="shared" ref="E20:P20" si="13">E182*E16</f>
        <v>0.85</v>
      </c>
      <c r="F20" s="31">
        <f t="shared" si="13"/>
        <v>1.1000000000000001</v>
      </c>
      <c r="G20" s="31">
        <f t="shared" si="13"/>
        <v>1.2</v>
      </c>
      <c r="H20" s="31">
        <f t="shared" si="13"/>
        <v>1.26</v>
      </c>
      <c r="I20" s="31">
        <f t="shared" si="13"/>
        <v>1.32</v>
      </c>
      <c r="J20" s="31">
        <f t="shared" si="13"/>
        <v>1.3900000000000001</v>
      </c>
      <c r="K20" s="31">
        <f t="shared" si="13"/>
        <v>1.46</v>
      </c>
      <c r="L20" s="31">
        <f t="shared" si="13"/>
        <v>1.53</v>
      </c>
      <c r="M20" s="31">
        <f t="shared" si="13"/>
        <v>1.61</v>
      </c>
      <c r="N20" s="31">
        <f t="shared" si="13"/>
        <v>1.69</v>
      </c>
      <c r="O20" s="31">
        <f t="shared" si="13"/>
        <v>1.77</v>
      </c>
      <c r="P20" s="31">
        <f t="shared" si="13"/>
        <v>1.86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D23" s="325">
        <f>1-CSO!D23</f>
        <v>0.7</v>
      </c>
      <c r="E23" s="6">
        <f>(0.5*(E17*Revenue!D8)*$D23)+(0.5*(E182*Revenue!D8)*$D23)</f>
        <v>408616.25</v>
      </c>
      <c r="F23" s="6">
        <f>(0.5*(F17*Revenue!E8)*$D23)+(0.5*(F182*Revenue!E8)*$D23)</f>
        <v>532763.48124999995</v>
      </c>
      <c r="G23" s="6">
        <f>(0.5*(G17*Revenue!F8)*$D23)+(0.5*(G182*Revenue!F8)*$D23)</f>
        <v>585555.49893749994</v>
      </c>
      <c r="H23" s="6">
        <f>(0.5*(H17*Revenue!G8)*$D23)+(0.5*(H182*Revenue!G8)*$D23)</f>
        <v>619444.52343850792</v>
      </c>
      <c r="I23" s="6">
        <f>(0.5*(I17*Revenue!H8)*$D23)+(0.5*(I182*Revenue!H8)*$D23)</f>
        <v>653808.94581021555</v>
      </c>
      <c r="J23" s="6">
        <f>(0.5*(J17*Revenue!I8)*$D23)+(0.5*(J182*Revenue!I8)*$D23)</f>
        <v>693644.23707293277</v>
      </c>
      <c r="K23" s="6">
        <f>(0.5*(K17*Revenue!J8)*$D23)+(0.5*(K182*Revenue!J8)*$D23)</f>
        <v>734040.28095138888</v>
      </c>
      <c r="L23" s="6">
        <f>(0.5*(L17*Revenue!K8)*$D23)+(0.5*(L182*Revenue!K8)*$D23)</f>
        <v>775003.2479996864</v>
      </c>
      <c r="M23" s="6">
        <f>(0.5*(M17*Revenue!L8)*$D23)+(0.5*(M182*Revenue!L8)*$D23)</f>
        <v>821642.74084907933</v>
      </c>
      <c r="N23" s="6">
        <f>(0.5*(N17*Revenue!M8)*$D23)+(0.5*(N182*Revenue!M8)*$D23)</f>
        <v>868938.23215851327</v>
      </c>
      <c r="O23" s="6">
        <f>(0.5*(O17*Revenue!N8)*$D23)+(0.5*(O182*Revenue!N8)*$D23)</f>
        <v>916896.93843341572</v>
      </c>
      <c r="P23" s="6">
        <f>(0.5*(P17*Revenue!O8)*$D23)+(0.5*(P182*Revenue!O8)*$D23)</f>
        <v>970745.20778378518</v>
      </c>
    </row>
    <row r="24" spans="1:16" s="2" customFormat="1" collapsed="1" x14ac:dyDescent="0.25">
      <c r="A24" s="16"/>
      <c r="B24" s="16" t="s">
        <v>427</v>
      </c>
      <c r="D24" s="325"/>
      <c r="E24" s="174">
        <f t="shared" ref="E24:P24" si="15">SUM(E23:E23)</f>
        <v>408616.25</v>
      </c>
      <c r="F24" s="174">
        <f t="shared" si="15"/>
        <v>532763.48124999995</v>
      </c>
      <c r="G24" s="174">
        <f t="shared" si="15"/>
        <v>585555.49893749994</v>
      </c>
      <c r="H24" s="174">
        <f t="shared" si="15"/>
        <v>619444.52343850792</v>
      </c>
      <c r="I24" s="174">
        <f t="shared" si="15"/>
        <v>653808.94581021555</v>
      </c>
      <c r="J24" s="174">
        <f t="shared" si="15"/>
        <v>693644.23707293277</v>
      </c>
      <c r="K24" s="174">
        <f t="shared" si="15"/>
        <v>734040.28095138888</v>
      </c>
      <c r="L24" s="174">
        <f t="shared" si="15"/>
        <v>775003.2479996864</v>
      </c>
      <c r="M24" s="174">
        <f t="shared" si="15"/>
        <v>821642.74084907933</v>
      </c>
      <c r="N24" s="174">
        <f t="shared" si="15"/>
        <v>868938.23215851327</v>
      </c>
      <c r="O24" s="174">
        <f t="shared" si="15"/>
        <v>916896.93843341572</v>
      </c>
      <c r="P24" s="174">
        <f t="shared" si="15"/>
        <v>970745.20778378518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708</v>
      </c>
      <c r="E25" s="6">
        <f>IF($D25="YES",0,E$17*Revenue!D$12)</f>
        <v>0</v>
      </c>
      <c r="F25" s="6">
        <f>IF($D25="YES",0,F$17*Revenue!E$12)</f>
        <v>0</v>
      </c>
      <c r="G25" s="6">
        <f>IF($D25="YES",0,G$17*Revenue!F$12)</f>
        <v>0</v>
      </c>
      <c r="H25" s="6">
        <f>IF($D25="YES",0,H$17*Revenue!G$12)</f>
        <v>0</v>
      </c>
      <c r="I25" s="6">
        <f>IF($D25="YES",0,I$17*Revenue!H$12)</f>
        <v>0</v>
      </c>
      <c r="J25" s="6">
        <f>IF($D25="YES",0,J$17*Revenue!I$12)</f>
        <v>0</v>
      </c>
      <c r="K25" s="6">
        <f>IF($D25="YES",0,K$17*Revenue!J$12)</f>
        <v>0</v>
      </c>
      <c r="L25" s="6">
        <f>IF($D25="YES",0,L$17*Revenue!K$12)</f>
        <v>0</v>
      </c>
      <c r="M25" s="6">
        <f>IF($D25="YES",0,M$17*Revenue!L$12)</f>
        <v>0</v>
      </c>
      <c r="N25" s="6">
        <f>IF($D25="YES",0,N$17*Revenue!M$12)</f>
        <v>0</v>
      </c>
      <c r="O25" s="6">
        <f>IF($D25="YES",0,O$17*Revenue!N$12)</f>
        <v>0</v>
      </c>
      <c r="P25" s="6">
        <f>IF($D25="YES",0,P$17*Revenue!O$12)</f>
        <v>0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tr">
        <f>Assumptions!B15</f>
        <v>YES</v>
      </c>
      <c r="E27" s="6">
        <f>IF($D27="YES",0,E$17*Revenue!D$19)</f>
        <v>0</v>
      </c>
      <c r="F27" s="6">
        <f>IF($D27="YES",0,F$17*Revenue!E$19)</f>
        <v>0</v>
      </c>
      <c r="G27" s="6">
        <f>IF($D27="YES",0,G$17*Revenue!F$19)</f>
        <v>0</v>
      </c>
      <c r="H27" s="6">
        <f>IF($D27="YES",0,H$17*Revenue!G$19)</f>
        <v>0</v>
      </c>
      <c r="I27" s="6">
        <f>IF($D27="YES",0,I$17*Revenue!H$19)</f>
        <v>0</v>
      </c>
      <c r="J27" s="6">
        <f>IF($D27="YES",0,J$17*Revenue!I$19)</f>
        <v>0</v>
      </c>
      <c r="K27" s="6">
        <f>IF($D27="YES",0,K$17*Revenue!J$19)</f>
        <v>0</v>
      </c>
      <c r="L27" s="6">
        <f>IF($D27="YES",0,L$17*Revenue!K$19)</f>
        <v>0</v>
      </c>
      <c r="M27" s="6">
        <f>IF($D27="YES",0,M$17*Revenue!L$19)</f>
        <v>0</v>
      </c>
      <c r="N27" s="6">
        <f>IF($D27="YES",0,N$17*Revenue!M$19)</f>
        <v>0</v>
      </c>
      <c r="O27" s="6">
        <f>IF($D27="YES",0,O$17*Revenue!N$19)</f>
        <v>0</v>
      </c>
      <c r="P27" s="6">
        <f>IF($D27="YES",0,P$17*Revenue!O$19)</f>
        <v>0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6">F125*0.5</f>
        <v>0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0</v>
      </c>
      <c r="K28" s="32">
        <f t="shared" si="16"/>
        <v>0</v>
      </c>
      <c r="L28" s="32">
        <f t="shared" si="16"/>
        <v>0</v>
      </c>
      <c r="M28" s="32">
        <f t="shared" si="16"/>
        <v>0</v>
      </c>
      <c r="N28" s="32">
        <f t="shared" si="16"/>
        <v>0</v>
      </c>
      <c r="O28" s="32">
        <f t="shared" si="16"/>
        <v>0</v>
      </c>
      <c r="P28" s="32">
        <f t="shared" si="16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7">SUM(E25:E28)</f>
        <v>0</v>
      </c>
      <c r="F29" s="174">
        <f t="shared" si="17"/>
        <v>0</v>
      </c>
      <c r="G29" s="174">
        <f t="shared" si="17"/>
        <v>0</v>
      </c>
      <c r="H29" s="174">
        <f t="shared" si="17"/>
        <v>0</v>
      </c>
      <c r="I29" s="174">
        <f t="shared" si="17"/>
        <v>0</v>
      </c>
      <c r="J29" s="174">
        <f t="shared" si="17"/>
        <v>0</v>
      </c>
      <c r="K29" s="174">
        <f t="shared" si="17"/>
        <v>0</v>
      </c>
      <c r="L29" s="174">
        <f t="shared" si="17"/>
        <v>0</v>
      </c>
      <c r="M29" s="174">
        <f t="shared" si="17"/>
        <v>0</v>
      </c>
      <c r="N29" s="174">
        <f t="shared" si="17"/>
        <v>0</v>
      </c>
      <c r="O29" s="174">
        <f t="shared" si="17"/>
        <v>0</v>
      </c>
      <c r="P29" s="174">
        <f t="shared" si="17"/>
        <v>0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708</v>
      </c>
      <c r="E30" s="6">
        <f>IF($D30="YES",0,E$17*Revenue!D$17)</f>
        <v>0</v>
      </c>
      <c r="F30" s="6">
        <f>IF($D30="YES",0,F$17*Revenue!E$17)</f>
        <v>0</v>
      </c>
      <c r="G30" s="6">
        <f>IF($D30="YES",0,G$17*Revenue!F$17)</f>
        <v>0</v>
      </c>
      <c r="H30" s="6">
        <f>IF($D30="YES",0,H$17*Revenue!G$17)</f>
        <v>0</v>
      </c>
      <c r="I30" s="6">
        <f>IF($D30="YES",0,I$17*Revenue!H$17)</f>
        <v>0</v>
      </c>
      <c r="J30" s="6">
        <f>IF($D30="YES",0,J$17*Revenue!I$17)</f>
        <v>0</v>
      </c>
      <c r="K30" s="6">
        <f>IF($D30="YES",0,K$17*Revenue!J$17)</f>
        <v>0</v>
      </c>
      <c r="L30" s="6">
        <f>IF($D30="YES",0,L$17*Revenue!K$17)</f>
        <v>0</v>
      </c>
      <c r="M30" s="6">
        <f>IF($D30="YES",0,M$17*Revenue!L$17)</f>
        <v>0</v>
      </c>
      <c r="N30" s="6">
        <f>IF($D30="YES",0,N$17*Revenue!M$17)</f>
        <v>0</v>
      </c>
      <c r="O30" s="6">
        <f>IF($D30="YES",0,O$17*Revenue!N$17)</f>
        <v>0</v>
      </c>
      <c r="P30" s="6">
        <f>IF($D30="YES",0,P$17*Revenue!O$17)</f>
        <v>0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74">
        <f t="shared" ref="E34:P34" si="18">SUM(E30:E33)</f>
        <v>0</v>
      </c>
      <c r="F34" s="174">
        <f t="shared" si="18"/>
        <v>0</v>
      </c>
      <c r="G34" s="174">
        <f t="shared" si="18"/>
        <v>0</v>
      </c>
      <c r="H34" s="174">
        <f t="shared" si="18"/>
        <v>0</v>
      </c>
      <c r="I34" s="174">
        <f t="shared" si="18"/>
        <v>0</v>
      </c>
      <c r="J34" s="174">
        <f t="shared" si="18"/>
        <v>0</v>
      </c>
      <c r="K34" s="174">
        <f t="shared" si="18"/>
        <v>0</v>
      </c>
      <c r="L34" s="174">
        <f t="shared" si="18"/>
        <v>0</v>
      </c>
      <c r="M34" s="174">
        <f t="shared" si="18"/>
        <v>0</v>
      </c>
      <c r="N34" s="174">
        <f t="shared" si="18"/>
        <v>0</v>
      </c>
      <c r="O34" s="174">
        <f t="shared" si="18"/>
        <v>0</v>
      </c>
      <c r="P34" s="174">
        <f t="shared" si="18"/>
        <v>0</v>
      </c>
    </row>
    <row r="35" spans="1:16" s="2" customFormat="1" hidden="1" outlineLevel="1" x14ac:dyDescent="0.25">
      <c r="A35" s="16"/>
      <c r="B35" s="6" t="s">
        <v>271</v>
      </c>
      <c r="D35" s="82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74">
        <f>SUM(E35:E37)</f>
        <v>0</v>
      </c>
      <c r="F38" s="174">
        <f t="shared" ref="F38:P38" si="19">SUM(F35:F37)</f>
        <v>0</v>
      </c>
      <c r="G38" s="174">
        <f t="shared" si="19"/>
        <v>0</v>
      </c>
      <c r="H38" s="174">
        <f t="shared" si="19"/>
        <v>0</v>
      </c>
      <c r="I38" s="174">
        <f t="shared" si="19"/>
        <v>0</v>
      </c>
      <c r="J38" s="174">
        <f t="shared" si="19"/>
        <v>0</v>
      </c>
      <c r="K38" s="174">
        <f t="shared" si="19"/>
        <v>0</v>
      </c>
      <c r="L38" s="174">
        <f t="shared" si="19"/>
        <v>0</v>
      </c>
      <c r="M38" s="174">
        <f t="shared" si="19"/>
        <v>0</v>
      </c>
      <c r="N38" s="174">
        <f t="shared" si="19"/>
        <v>0</v>
      </c>
      <c r="O38" s="174">
        <f t="shared" si="19"/>
        <v>0</v>
      </c>
      <c r="P38" s="174">
        <f t="shared" si="19"/>
        <v>0</v>
      </c>
    </row>
    <row r="39" spans="1:16" s="2" customFormat="1" ht="15.75" thickBot="1" x14ac:dyDescent="0.3">
      <c r="A39" s="16" t="s">
        <v>210</v>
      </c>
      <c r="E39" s="131">
        <f>E34+E29+E24+E38</f>
        <v>408616.25</v>
      </c>
      <c r="F39" s="131">
        <f t="shared" ref="F39:P39" si="20">F34+F29+F24+F38</f>
        <v>532763.48124999995</v>
      </c>
      <c r="G39" s="131">
        <f t="shared" si="20"/>
        <v>585555.49893749994</v>
      </c>
      <c r="H39" s="131">
        <f t="shared" si="20"/>
        <v>619444.52343850792</v>
      </c>
      <c r="I39" s="131">
        <f t="shared" si="20"/>
        <v>653808.94581021555</v>
      </c>
      <c r="J39" s="131">
        <f t="shared" si="20"/>
        <v>693644.23707293277</v>
      </c>
      <c r="K39" s="131">
        <f t="shared" si="20"/>
        <v>734040.28095138888</v>
      </c>
      <c r="L39" s="131">
        <f t="shared" si="20"/>
        <v>775003.2479996864</v>
      </c>
      <c r="M39" s="131">
        <f t="shared" si="20"/>
        <v>821642.74084907933</v>
      </c>
      <c r="N39" s="131">
        <f t="shared" si="20"/>
        <v>868938.23215851327</v>
      </c>
      <c r="O39" s="131">
        <f t="shared" si="20"/>
        <v>916896.93843341572</v>
      </c>
      <c r="P39" s="131">
        <f t="shared" si="20"/>
        <v>970745.20778378518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195" t="s">
        <v>750</v>
      </c>
      <c r="D42" s="331">
        <v>1.144827</v>
      </c>
      <c r="E42" s="294">
        <f>IF(E$182=0,0,SUMIFS(E$209:E$217,$A$209:$A$217,$A42))*$D42</f>
        <v>0</v>
      </c>
      <c r="F42" s="294">
        <f t="shared" ref="F42:P42" si="22">IF(F$182=0,0,SUMIFS(F$209:F$217,$A$209:$A$217,$A42))*$D42</f>
        <v>0</v>
      </c>
      <c r="G42" s="294">
        <f t="shared" si="22"/>
        <v>0</v>
      </c>
      <c r="H42" s="294">
        <f t="shared" si="22"/>
        <v>0</v>
      </c>
      <c r="I42" s="294">
        <f t="shared" si="22"/>
        <v>0</v>
      </c>
      <c r="J42" s="294">
        <f t="shared" si="22"/>
        <v>0</v>
      </c>
      <c r="K42" s="294">
        <f t="shared" si="22"/>
        <v>0</v>
      </c>
      <c r="L42" s="294">
        <f t="shared" si="22"/>
        <v>0</v>
      </c>
      <c r="M42" s="294">
        <f t="shared" si="22"/>
        <v>36519.981299999999</v>
      </c>
      <c r="N42" s="294">
        <f t="shared" si="22"/>
        <v>37149.636149999998</v>
      </c>
      <c r="O42" s="294">
        <f t="shared" si="22"/>
        <v>37779.291000000005</v>
      </c>
      <c r="P42" s="294">
        <f t="shared" si="22"/>
        <v>38408.945850000004</v>
      </c>
    </row>
    <row r="43" spans="1:16" s="2" customFormat="1" hidden="1" outlineLevel="2" x14ac:dyDescent="0.25">
      <c r="A43" s="62" t="s">
        <v>402</v>
      </c>
      <c r="B43" s="18" t="s">
        <v>372</v>
      </c>
      <c r="C43" s="195" t="s">
        <v>751</v>
      </c>
      <c r="D43" s="332">
        <v>1.1299999999999999E-2</v>
      </c>
      <c r="E43" s="107">
        <f>SUMIFS(E$209:E$217,$A$209:$A$217,$A43)*(1-$D43)</f>
        <v>0</v>
      </c>
      <c r="F43" s="107">
        <f t="shared" ref="F43:P43" si="23">SUMIFS(F$209:F$217,$A$209:$A$217,$A43)*(1-$D43)</f>
        <v>0</v>
      </c>
      <c r="G43" s="107">
        <f t="shared" si="23"/>
        <v>0</v>
      </c>
      <c r="H43" s="107">
        <f t="shared" si="23"/>
        <v>0</v>
      </c>
      <c r="I43" s="107">
        <f t="shared" si="23"/>
        <v>0</v>
      </c>
      <c r="J43" s="107">
        <f t="shared" si="23"/>
        <v>0</v>
      </c>
      <c r="K43" s="107">
        <f t="shared" si="23"/>
        <v>0</v>
      </c>
      <c r="L43" s="107">
        <f t="shared" si="23"/>
        <v>0</v>
      </c>
      <c r="M43" s="107">
        <f t="shared" si="23"/>
        <v>0</v>
      </c>
      <c r="N43" s="107">
        <f t="shared" si="23"/>
        <v>0</v>
      </c>
      <c r="O43" s="107">
        <f t="shared" si="23"/>
        <v>0</v>
      </c>
      <c r="P43" s="107">
        <f t="shared" si="23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0</v>
      </c>
      <c r="F44" s="107">
        <f t="shared" ref="F44:P44" si="24">SUM(F42:F43)</f>
        <v>0</v>
      </c>
      <c r="G44" s="107">
        <f t="shared" si="24"/>
        <v>0</v>
      </c>
      <c r="H44" s="107">
        <f t="shared" si="24"/>
        <v>0</v>
      </c>
      <c r="I44" s="107">
        <f t="shared" si="24"/>
        <v>0</v>
      </c>
      <c r="J44" s="107">
        <f t="shared" si="24"/>
        <v>0</v>
      </c>
      <c r="K44" s="107">
        <f t="shared" si="24"/>
        <v>0</v>
      </c>
      <c r="L44" s="107">
        <f t="shared" si="24"/>
        <v>0</v>
      </c>
      <c r="M44" s="107">
        <f t="shared" si="24"/>
        <v>36519.981299999999</v>
      </c>
      <c r="N44" s="107">
        <f t="shared" si="24"/>
        <v>37149.636149999998</v>
      </c>
      <c r="O44" s="107">
        <f t="shared" si="24"/>
        <v>37779.291000000005</v>
      </c>
      <c r="P44" s="107">
        <f t="shared" si="24"/>
        <v>38408.945850000004</v>
      </c>
    </row>
    <row r="45" spans="1:16" s="2" customFormat="1" hidden="1" outlineLevel="2" x14ac:dyDescent="0.25">
      <c r="A45" s="195" t="s">
        <v>403</v>
      </c>
      <c r="B45" s="74" t="s">
        <v>382</v>
      </c>
      <c r="C45" s="19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195" t="s">
        <v>751</v>
      </c>
      <c r="D46" s="332">
        <v>1.1299999999999999E-2</v>
      </c>
      <c r="E46" s="107">
        <f>SUMIFS(E$209:E$217,$A$209:$A$217,$A46)*(1-$D46)</f>
        <v>84039.5</v>
      </c>
      <c r="F46" s="107">
        <f t="shared" ref="F46:P46" si="26">SUMIFS(F$209:F$217,$A$209:$A$217,$A46)*(1-$D46)</f>
        <v>85720.290000000008</v>
      </c>
      <c r="G46" s="107">
        <f t="shared" si="26"/>
        <v>87401.08</v>
      </c>
      <c r="H46" s="107">
        <f t="shared" si="26"/>
        <v>89081.87</v>
      </c>
      <c r="I46" s="107">
        <f t="shared" si="26"/>
        <v>90762.66</v>
      </c>
      <c r="J46" s="107">
        <f t="shared" si="26"/>
        <v>92443.450000000012</v>
      </c>
      <c r="K46" s="107">
        <f t="shared" si="26"/>
        <v>94124.24000000002</v>
      </c>
      <c r="L46" s="107">
        <f t="shared" si="26"/>
        <v>95805.030000000013</v>
      </c>
      <c r="M46" s="107">
        <f t="shared" si="26"/>
        <v>97485.82</v>
      </c>
      <c r="N46" s="107">
        <f t="shared" si="26"/>
        <v>99166.61</v>
      </c>
      <c r="O46" s="107">
        <f t="shared" si="26"/>
        <v>100847.40000000001</v>
      </c>
      <c r="P46" s="107">
        <f t="shared" si="26"/>
        <v>102528.19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84039.5</v>
      </c>
      <c r="F47" s="107">
        <f t="shared" ref="F47:P47" si="27">SUM(F45:F46)</f>
        <v>85720.290000000008</v>
      </c>
      <c r="G47" s="107">
        <f t="shared" si="27"/>
        <v>87401.08</v>
      </c>
      <c r="H47" s="107">
        <f t="shared" si="27"/>
        <v>89081.87</v>
      </c>
      <c r="I47" s="107">
        <f t="shared" si="27"/>
        <v>90762.66</v>
      </c>
      <c r="J47" s="107">
        <f t="shared" si="27"/>
        <v>92443.450000000012</v>
      </c>
      <c r="K47" s="107">
        <f t="shared" si="27"/>
        <v>94124.24000000002</v>
      </c>
      <c r="L47" s="107">
        <f t="shared" si="27"/>
        <v>95805.030000000013</v>
      </c>
      <c r="M47" s="107">
        <f t="shared" si="27"/>
        <v>97485.82</v>
      </c>
      <c r="N47" s="107">
        <f t="shared" si="27"/>
        <v>99166.61</v>
      </c>
      <c r="O47" s="107">
        <f t="shared" si="27"/>
        <v>100847.40000000001</v>
      </c>
      <c r="P47" s="107">
        <f t="shared" si="27"/>
        <v>102528.19</v>
      </c>
    </row>
    <row r="48" spans="1:16" s="2" customFormat="1" hidden="1" outlineLevel="2" x14ac:dyDescent="0.25">
      <c r="A48" s="195" t="s">
        <v>407</v>
      </c>
      <c r="B48" s="74" t="s">
        <v>377</v>
      </c>
      <c r="C48" s="195" t="s">
        <v>750</v>
      </c>
      <c r="D48" s="331">
        <v>1.144827</v>
      </c>
      <c r="E48" s="107">
        <f>IF(E$182=0,0,SUMIFS(E$209:E$217,$A$209:$A$217,$A48))*$D48</f>
        <v>0</v>
      </c>
      <c r="F48" s="107">
        <f t="shared" ref="F48:P48" si="28">IF(F$182=0,0,SUMIFS(F$209:F$217,$A$209:$A$217,$A48))*$D48</f>
        <v>46708.941599999998</v>
      </c>
      <c r="G48" s="107">
        <f t="shared" si="28"/>
        <v>47624.803200000002</v>
      </c>
      <c r="H48" s="107">
        <f t="shared" si="28"/>
        <v>48540.664799999999</v>
      </c>
      <c r="I48" s="107">
        <f t="shared" si="28"/>
        <v>49456.526400000002</v>
      </c>
      <c r="J48" s="107">
        <f t="shared" si="28"/>
        <v>50372.387999999999</v>
      </c>
      <c r="K48" s="107">
        <f t="shared" si="28"/>
        <v>51288.24960000001</v>
      </c>
      <c r="L48" s="107">
        <f t="shared" si="28"/>
        <v>52204.111200000007</v>
      </c>
      <c r="M48" s="107">
        <f t="shared" si="28"/>
        <v>53119.972800000003</v>
      </c>
      <c r="N48" s="107">
        <f t="shared" si="28"/>
        <v>54035.8344</v>
      </c>
      <c r="O48" s="107">
        <f t="shared" si="28"/>
        <v>54951.696000000004</v>
      </c>
      <c r="P48" s="107">
        <f t="shared" si="28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195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29">SUMIFS(F$209:F$217,$A$209:$A$217,$A49)*(1-$D49)</f>
        <v>0</v>
      </c>
      <c r="G49" s="107">
        <f t="shared" si="29"/>
        <v>0</v>
      </c>
      <c r="H49" s="107">
        <f t="shared" si="29"/>
        <v>0</v>
      </c>
      <c r="I49" s="107">
        <f t="shared" si="29"/>
        <v>0</v>
      </c>
      <c r="J49" s="107">
        <f t="shared" si="29"/>
        <v>0</v>
      </c>
      <c r="K49" s="107">
        <f t="shared" si="29"/>
        <v>0</v>
      </c>
      <c r="L49" s="107">
        <f t="shared" si="29"/>
        <v>0</v>
      </c>
      <c r="M49" s="107">
        <f t="shared" si="29"/>
        <v>0</v>
      </c>
      <c r="N49" s="107">
        <f t="shared" si="29"/>
        <v>0</v>
      </c>
      <c r="O49" s="107">
        <f t="shared" si="29"/>
        <v>0</v>
      </c>
      <c r="P49" s="107">
        <f t="shared" si="29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0</v>
      </c>
      <c r="F50" s="107">
        <f t="shared" ref="F50:P50" si="30">SUM(F48:F49)</f>
        <v>46708.941599999998</v>
      </c>
      <c r="G50" s="107">
        <f t="shared" si="30"/>
        <v>47624.803200000002</v>
      </c>
      <c r="H50" s="107">
        <f t="shared" si="30"/>
        <v>48540.664799999999</v>
      </c>
      <c r="I50" s="107">
        <f t="shared" si="30"/>
        <v>49456.526400000002</v>
      </c>
      <c r="J50" s="107">
        <f t="shared" si="30"/>
        <v>50372.387999999999</v>
      </c>
      <c r="K50" s="107">
        <f t="shared" si="30"/>
        <v>51288.24960000001</v>
      </c>
      <c r="L50" s="107">
        <f t="shared" si="30"/>
        <v>52204.111200000007</v>
      </c>
      <c r="M50" s="107">
        <f t="shared" si="30"/>
        <v>53119.972800000003</v>
      </c>
      <c r="N50" s="107">
        <f t="shared" si="30"/>
        <v>54035.8344</v>
      </c>
      <c r="O50" s="107">
        <f t="shared" si="30"/>
        <v>54951.696000000004</v>
      </c>
      <c r="P50" s="107">
        <f t="shared" si="30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8840</v>
      </c>
      <c r="F51" s="107">
        <f t="shared" ref="F51:P51" si="31">IF(F$182=0,0,SUMIFS(F$209:F$217,$A$209:$A$217,$A51))</f>
        <v>9016.7999999999993</v>
      </c>
      <c r="G51" s="107">
        <f t="shared" si="31"/>
        <v>9193.6</v>
      </c>
      <c r="H51" s="107">
        <f t="shared" si="31"/>
        <v>9370.4</v>
      </c>
      <c r="I51" s="107">
        <f t="shared" si="31"/>
        <v>9547.2000000000007</v>
      </c>
      <c r="J51" s="107">
        <f t="shared" si="31"/>
        <v>9724</v>
      </c>
      <c r="K51" s="107">
        <f t="shared" si="31"/>
        <v>9900.8000000000011</v>
      </c>
      <c r="L51" s="107">
        <f t="shared" si="31"/>
        <v>10077.6</v>
      </c>
      <c r="M51" s="107">
        <f t="shared" si="31"/>
        <v>10254.4</v>
      </c>
      <c r="N51" s="107">
        <f t="shared" si="31"/>
        <v>10431.199999999999</v>
      </c>
      <c r="O51" s="107">
        <f t="shared" si="31"/>
        <v>10608</v>
      </c>
      <c r="P51" s="107">
        <f t="shared" si="31"/>
        <v>10784.8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3000</v>
      </c>
      <c r="E52" s="107">
        <f>IF(E$182=0,0,(SUMIFS(E$188:E$196,$A$188:$A$196,$A42)+SUMIFS(E$188:E$196,$A$188:$A$196,$A43))*$D52)</f>
        <v>0</v>
      </c>
      <c r="F52" s="107">
        <f t="shared" ref="F52:P52" si="32">IF(F$182=0,0,(SUMIFS(F$188:F$196,$A$188:$A$196,$A42)+SUMIFS(F$188:F$196,$A$188:$A$196,$A43))*$D52)</f>
        <v>0</v>
      </c>
      <c r="G52" s="107">
        <f t="shared" si="32"/>
        <v>0</v>
      </c>
      <c r="H52" s="107">
        <f t="shared" si="32"/>
        <v>0</v>
      </c>
      <c r="I52" s="107">
        <f t="shared" si="32"/>
        <v>0</v>
      </c>
      <c r="J52" s="107">
        <f t="shared" si="32"/>
        <v>0</v>
      </c>
      <c r="K52" s="107">
        <f t="shared" si="32"/>
        <v>0</v>
      </c>
      <c r="L52" s="107">
        <f t="shared" si="32"/>
        <v>0</v>
      </c>
      <c r="M52" s="107">
        <f t="shared" si="32"/>
        <v>1500</v>
      </c>
      <c r="N52" s="107">
        <f t="shared" si="32"/>
        <v>1500</v>
      </c>
      <c r="O52" s="107">
        <f t="shared" si="32"/>
        <v>1500</v>
      </c>
      <c r="P52" s="107">
        <f t="shared" si="32"/>
        <v>1500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3000</v>
      </c>
      <c r="E53" s="107">
        <f>IF(E$182=0,0,(SUMIFS(E$188:E$196,$A$188:$A$196,$A45)+SUMIFS(E$188:E$196,$A$188:$A$196,$A46))*$D53)</f>
        <v>3000</v>
      </c>
      <c r="F53" s="107">
        <f t="shared" ref="F53:P53" si="33">IF(F$182=0,0,(SUMIFS(F$188:F$196,$A$188:$A$196,$A45)+SUMIFS(F$188:F$196,$A$188:$A$196,$A46))*$D53)</f>
        <v>3000</v>
      </c>
      <c r="G53" s="107">
        <f t="shared" si="33"/>
        <v>3000</v>
      </c>
      <c r="H53" s="107">
        <f t="shared" si="33"/>
        <v>3000</v>
      </c>
      <c r="I53" s="107">
        <f t="shared" si="33"/>
        <v>3000</v>
      </c>
      <c r="J53" s="107">
        <f t="shared" si="33"/>
        <v>3000</v>
      </c>
      <c r="K53" s="107">
        <f t="shared" si="33"/>
        <v>3000</v>
      </c>
      <c r="L53" s="107">
        <f t="shared" si="33"/>
        <v>3000</v>
      </c>
      <c r="M53" s="107">
        <f t="shared" si="33"/>
        <v>3000</v>
      </c>
      <c r="N53" s="107">
        <f t="shared" si="33"/>
        <v>3000</v>
      </c>
      <c r="O53" s="107">
        <f t="shared" si="33"/>
        <v>3000</v>
      </c>
      <c r="P53" s="107">
        <f t="shared" si="33"/>
        <v>3000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3000</v>
      </c>
      <c r="E54" s="32">
        <f>IF(E$182=0,0,(SUMIFS(E$188:E$196,$A$188:$A$196,$A48)+SUMIFS(E$188:E$196,$A$188:$A$196,$A49))*$D54)</f>
        <v>0</v>
      </c>
      <c r="F54" s="32">
        <f t="shared" ref="F54:P54" si="34">IF(F$182=0,0,(SUMIFS(F$188:F$196,$A$188:$A$196,$A48)+SUMIFS(F$188:F$196,$A$188:$A$196,$A49))*$D54)</f>
        <v>3000</v>
      </c>
      <c r="G54" s="32">
        <f t="shared" si="34"/>
        <v>3000</v>
      </c>
      <c r="H54" s="32">
        <f t="shared" si="34"/>
        <v>3000</v>
      </c>
      <c r="I54" s="32">
        <f t="shared" si="34"/>
        <v>3000</v>
      </c>
      <c r="J54" s="32">
        <f t="shared" si="34"/>
        <v>3000</v>
      </c>
      <c r="K54" s="32">
        <f t="shared" si="34"/>
        <v>3000</v>
      </c>
      <c r="L54" s="32">
        <f t="shared" si="34"/>
        <v>3000</v>
      </c>
      <c r="M54" s="32">
        <f t="shared" si="34"/>
        <v>3000</v>
      </c>
      <c r="N54" s="32">
        <f t="shared" si="34"/>
        <v>3000</v>
      </c>
      <c r="O54" s="32">
        <f t="shared" si="34"/>
        <v>3000</v>
      </c>
      <c r="P54" s="32">
        <f t="shared" si="34"/>
        <v>3000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6">
        <f>E54+E53+E52+E51+E50+E47+E44</f>
        <v>95879.5</v>
      </c>
      <c r="F55" s="6">
        <f t="shared" ref="F55:P55" si="35">F54+F53+F52+F51+F50+F47+F44</f>
        <v>147446.03159999999</v>
      </c>
      <c r="G55" s="6">
        <f t="shared" si="35"/>
        <v>150219.48320000002</v>
      </c>
      <c r="H55" s="6">
        <f t="shared" si="35"/>
        <v>152992.93479999999</v>
      </c>
      <c r="I55" s="6">
        <f t="shared" si="35"/>
        <v>155766.38640000002</v>
      </c>
      <c r="J55" s="6">
        <f t="shared" si="35"/>
        <v>158539.83800000002</v>
      </c>
      <c r="K55" s="6">
        <f t="shared" si="35"/>
        <v>161313.28960000002</v>
      </c>
      <c r="L55" s="6">
        <f t="shared" si="35"/>
        <v>164086.74120000002</v>
      </c>
      <c r="M55" s="6">
        <f t="shared" si="35"/>
        <v>204880.1741</v>
      </c>
      <c r="N55" s="6">
        <f t="shared" si="35"/>
        <v>208283.28055</v>
      </c>
      <c r="O55" s="6">
        <f t="shared" si="35"/>
        <v>211686.38700000002</v>
      </c>
      <c r="P55" s="6">
        <f t="shared" si="35"/>
        <v>215089.49345000001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6">
        <f>IF(E$182=0,0,SUMIFS(E$42:E$54,$A$42:$A$54,6111)*$D56)</f>
        <v>0</v>
      </c>
      <c r="F56" s="6">
        <f t="shared" ref="F56:P56" si="36">IF(F$182=0,0,SUMIFS(F$42:F$54,$A$42:$A$54,6111)*$D56)</f>
        <v>0</v>
      </c>
      <c r="G56" s="6">
        <f t="shared" si="36"/>
        <v>0</v>
      </c>
      <c r="H56" s="6">
        <f t="shared" si="36"/>
        <v>0</v>
      </c>
      <c r="I56" s="6">
        <f t="shared" si="36"/>
        <v>0</v>
      </c>
      <c r="J56" s="6">
        <f t="shared" si="36"/>
        <v>0</v>
      </c>
      <c r="K56" s="6">
        <f t="shared" si="36"/>
        <v>0</v>
      </c>
      <c r="L56" s="6">
        <f t="shared" si="36"/>
        <v>0</v>
      </c>
      <c r="M56" s="6">
        <f t="shared" si="36"/>
        <v>200.85989714999999</v>
      </c>
      <c r="N56" s="6">
        <f t="shared" si="36"/>
        <v>204.32299882499998</v>
      </c>
      <c r="O56" s="6">
        <f t="shared" si="36"/>
        <v>207.7861005</v>
      </c>
      <c r="P56" s="6">
        <f t="shared" si="36"/>
        <v>211.24920217500002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6">
        <f>IF(E$182=0,0,SUMIFS(E$42:E$54,$A$42:$A$54,6114)*$D57)</f>
        <v>462.21724999999998</v>
      </c>
      <c r="F57" s="6">
        <f t="shared" ref="F57:P57" si="37">IF(F$182=0,0,SUMIFS(F$42:F$54,$A$42:$A$54,6114)*$D57)</f>
        <v>471.46159500000005</v>
      </c>
      <c r="G57" s="6">
        <f t="shared" si="37"/>
        <v>480.70594</v>
      </c>
      <c r="H57" s="6">
        <f t="shared" si="37"/>
        <v>489.95028499999995</v>
      </c>
      <c r="I57" s="6">
        <f t="shared" si="37"/>
        <v>499.19463000000002</v>
      </c>
      <c r="J57" s="6">
        <f t="shared" si="37"/>
        <v>508.43897500000003</v>
      </c>
      <c r="K57" s="6">
        <f t="shared" si="37"/>
        <v>517.68332000000009</v>
      </c>
      <c r="L57" s="6">
        <f t="shared" si="37"/>
        <v>526.92766500000005</v>
      </c>
      <c r="M57" s="6">
        <f t="shared" si="37"/>
        <v>536.17201</v>
      </c>
      <c r="N57" s="6">
        <f t="shared" si="37"/>
        <v>545.41635499999995</v>
      </c>
      <c r="O57" s="6">
        <f t="shared" si="37"/>
        <v>554.66070000000002</v>
      </c>
      <c r="P57" s="6">
        <f t="shared" si="37"/>
        <v>563.90504499999997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IF(E$182=0,0,(SUMIFS(E$42:E$54,$A$42:$A$54,6117)+SUMIFS(E$42:E$54,$A$42:$A$54,6117))*$D58)</f>
        <v>0</v>
      </c>
      <c r="F58" s="6">
        <f t="shared" ref="F58:P58" si="38">IF(F$182=0,0,(SUMIFS(F$42:F$54,$A$42:$A$54,6117)+SUMIFS(F$42:F$54,$A$42:$A$54,6117))*$D58)</f>
        <v>513.79835759999992</v>
      </c>
      <c r="G58" s="6">
        <f t="shared" si="38"/>
        <v>523.87283519999994</v>
      </c>
      <c r="H58" s="6">
        <f t="shared" si="38"/>
        <v>533.94731279999996</v>
      </c>
      <c r="I58" s="6">
        <f t="shared" si="38"/>
        <v>544.02179039999999</v>
      </c>
      <c r="J58" s="6">
        <f t="shared" si="38"/>
        <v>554.09626800000001</v>
      </c>
      <c r="K58" s="6">
        <f t="shared" si="38"/>
        <v>564.17074560000003</v>
      </c>
      <c r="L58" s="6">
        <f t="shared" si="38"/>
        <v>574.24522320000005</v>
      </c>
      <c r="M58" s="6">
        <f t="shared" si="38"/>
        <v>584.31970079999996</v>
      </c>
      <c r="N58" s="6">
        <f t="shared" si="38"/>
        <v>594.39417839999999</v>
      </c>
      <c r="O58" s="6">
        <f t="shared" si="38"/>
        <v>604.46865600000001</v>
      </c>
      <c r="P58" s="6">
        <f t="shared" si="38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548.08000000000004</v>
      </c>
      <c r="F59" s="6">
        <f t="shared" ref="F59:P59" si="39">IF(F$182=0,0,SUMIFS(F$42:F$54,$A$42:$A$54,6127)*$D59)</f>
        <v>559.0415999999999</v>
      </c>
      <c r="G59" s="6">
        <f t="shared" si="39"/>
        <v>570.00319999999999</v>
      </c>
      <c r="H59" s="6">
        <f t="shared" si="39"/>
        <v>580.96479999999997</v>
      </c>
      <c r="I59" s="6">
        <f t="shared" si="39"/>
        <v>591.92640000000006</v>
      </c>
      <c r="J59" s="6">
        <f t="shared" si="39"/>
        <v>602.88800000000003</v>
      </c>
      <c r="K59" s="6">
        <f t="shared" si="39"/>
        <v>613.84960000000001</v>
      </c>
      <c r="L59" s="6">
        <f t="shared" si="39"/>
        <v>624.81119999999999</v>
      </c>
      <c r="M59" s="6">
        <f t="shared" si="39"/>
        <v>635.77279999999996</v>
      </c>
      <c r="N59" s="6">
        <f t="shared" si="39"/>
        <v>646.73439999999994</v>
      </c>
      <c r="O59" s="6">
        <f t="shared" si="39"/>
        <v>657.69600000000003</v>
      </c>
      <c r="P59" s="6">
        <f t="shared" si="39"/>
        <v>668.6576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IF(E$182=0,0,SUMIFS(E$42:E$54,$A$42:$A$54,$A42)*($D60*1+E6))</f>
        <v>0</v>
      </c>
      <c r="F60" s="6">
        <f t="shared" si="40"/>
        <v>0</v>
      </c>
      <c r="G60" s="6">
        <f t="shared" si="40"/>
        <v>0</v>
      </c>
      <c r="H60" s="6">
        <f t="shared" si="40"/>
        <v>0</v>
      </c>
      <c r="I60" s="6">
        <f t="shared" si="40"/>
        <v>0</v>
      </c>
      <c r="J60" s="6">
        <f t="shared" si="40"/>
        <v>0</v>
      </c>
      <c r="K60" s="6">
        <f t="shared" si="40"/>
        <v>0</v>
      </c>
      <c r="L60" s="6">
        <f t="shared" si="40"/>
        <v>0</v>
      </c>
      <c r="M60" s="6">
        <f t="shared" si="40"/>
        <v>5569.2971482499997</v>
      </c>
      <c r="N60" s="6">
        <f t="shared" si="40"/>
        <v>5665.3195128749994</v>
      </c>
      <c r="O60" s="6">
        <f t="shared" si="40"/>
        <v>5761.3418775000009</v>
      </c>
      <c r="P60" s="6">
        <f t="shared" si="40"/>
        <v>5857.3642421250006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IF(E$182=0,0,SUMIFS(E$42:E$54,$A$42:$A$54,$A43)*($D61*1+E6))</f>
        <v>0</v>
      </c>
      <c r="F61" s="6">
        <f t="shared" si="41"/>
        <v>0</v>
      </c>
      <c r="G61" s="6">
        <f t="shared" si="41"/>
        <v>0</v>
      </c>
      <c r="H61" s="6">
        <f t="shared" si="41"/>
        <v>0</v>
      </c>
      <c r="I61" s="6">
        <f t="shared" si="41"/>
        <v>0</v>
      </c>
      <c r="J61" s="6">
        <f t="shared" si="41"/>
        <v>0</v>
      </c>
      <c r="K61" s="6">
        <f t="shared" si="41"/>
        <v>0</v>
      </c>
      <c r="L61" s="6">
        <f t="shared" si="41"/>
        <v>0</v>
      </c>
      <c r="M61" s="6">
        <f t="shared" si="41"/>
        <v>0</v>
      </c>
      <c r="N61" s="6">
        <f t="shared" si="41"/>
        <v>0</v>
      </c>
      <c r="O61" s="6">
        <f t="shared" si="41"/>
        <v>0</v>
      </c>
      <c r="P61" s="6">
        <f t="shared" si="41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0</v>
      </c>
      <c r="F62" s="6">
        <f t="shared" ref="F62:P62" si="42">SUM(F60:F61)</f>
        <v>0</v>
      </c>
      <c r="G62" s="6">
        <f t="shared" si="42"/>
        <v>0</v>
      </c>
      <c r="H62" s="6">
        <f t="shared" si="42"/>
        <v>0</v>
      </c>
      <c r="I62" s="6">
        <f t="shared" si="42"/>
        <v>0</v>
      </c>
      <c r="J62" s="6">
        <f t="shared" si="42"/>
        <v>0</v>
      </c>
      <c r="K62" s="6">
        <f t="shared" si="42"/>
        <v>0</v>
      </c>
      <c r="L62" s="6">
        <f t="shared" si="42"/>
        <v>0</v>
      </c>
      <c r="M62" s="6">
        <f t="shared" si="42"/>
        <v>5569.2971482499997</v>
      </c>
      <c r="N62" s="6">
        <f t="shared" si="42"/>
        <v>5665.3195128749994</v>
      </c>
      <c r="O62" s="6">
        <f t="shared" si="42"/>
        <v>5761.3418775000009</v>
      </c>
      <c r="P62" s="6">
        <f t="shared" si="42"/>
        <v>5857.3642421250006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3">IF(E$182=0,0,SUMIFS(E$42:E$54,$A$42:$A$54,$A45)*($D63*1+E6))</f>
        <v>0</v>
      </c>
      <c r="F63" s="6">
        <f t="shared" si="43"/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5"/>
      <c r="D64" s="95">
        <v>0.28000000000000003</v>
      </c>
      <c r="E64" s="6">
        <f t="shared" ref="E64:P64" si="44">IF(E$182=0,0,SUMIFS(E$42:E$54,$A$42:$A$54,$A46)*($D64*1+E6))</f>
        <v>23531.06</v>
      </c>
      <c r="F64" s="6">
        <f t="shared" si="44"/>
        <v>24644.583375000006</v>
      </c>
      <c r="G64" s="6">
        <f t="shared" si="44"/>
        <v>25127.810500000003</v>
      </c>
      <c r="H64" s="6">
        <f t="shared" si="44"/>
        <v>25611.037625000001</v>
      </c>
      <c r="I64" s="6">
        <f t="shared" si="44"/>
        <v>26094.264750000006</v>
      </c>
      <c r="J64" s="6">
        <f t="shared" si="44"/>
        <v>26577.491875000007</v>
      </c>
      <c r="K64" s="6">
        <f t="shared" si="44"/>
        <v>27060.719000000008</v>
      </c>
      <c r="L64" s="6">
        <f t="shared" si="44"/>
        <v>27543.946125000006</v>
      </c>
      <c r="M64" s="6">
        <f t="shared" si="44"/>
        <v>28027.173250000003</v>
      </c>
      <c r="N64" s="6">
        <f t="shared" si="44"/>
        <v>28510.400375000005</v>
      </c>
      <c r="O64" s="6">
        <f t="shared" si="44"/>
        <v>28993.627500000006</v>
      </c>
      <c r="P64" s="6">
        <f t="shared" si="44"/>
        <v>29476.854625000004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5">SUM(E63:E64)</f>
        <v>23531.06</v>
      </c>
      <c r="F65" s="6">
        <f t="shared" si="45"/>
        <v>24644.583375000006</v>
      </c>
      <c r="G65" s="6">
        <f t="shared" si="45"/>
        <v>25127.810500000003</v>
      </c>
      <c r="H65" s="6">
        <f t="shared" si="45"/>
        <v>25611.037625000001</v>
      </c>
      <c r="I65" s="6">
        <f t="shared" si="45"/>
        <v>26094.264750000006</v>
      </c>
      <c r="J65" s="6">
        <f t="shared" si="45"/>
        <v>26577.491875000007</v>
      </c>
      <c r="K65" s="6">
        <f t="shared" si="45"/>
        <v>27060.719000000008</v>
      </c>
      <c r="L65" s="6">
        <f t="shared" si="45"/>
        <v>27543.946125000006</v>
      </c>
      <c r="M65" s="6">
        <f t="shared" si="45"/>
        <v>28027.173250000003</v>
      </c>
      <c r="N65" s="6">
        <f t="shared" si="45"/>
        <v>28510.400375000005</v>
      </c>
      <c r="O65" s="6">
        <f t="shared" si="45"/>
        <v>28993.627500000006</v>
      </c>
      <c r="P65" s="6">
        <f t="shared" si="45"/>
        <v>29476.854625000004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6">IF(E$182=0,0,SUMIFS(E$42:E$54,$A$42:$A$54,$A48)*($D66*1+E6))</f>
        <v>0</v>
      </c>
      <c r="F66" s="6">
        <f t="shared" si="46"/>
        <v>7123.1135939999995</v>
      </c>
      <c r="G66" s="6">
        <f t="shared" si="46"/>
        <v>7262.7824879999998</v>
      </c>
      <c r="H66" s="6">
        <f t="shared" si="46"/>
        <v>7402.4513819999993</v>
      </c>
      <c r="I66" s="6">
        <f t="shared" si="46"/>
        <v>7542.1202760000006</v>
      </c>
      <c r="J66" s="6">
        <f t="shared" si="46"/>
        <v>7681.78917</v>
      </c>
      <c r="K66" s="6">
        <f t="shared" si="46"/>
        <v>7821.4580640000013</v>
      </c>
      <c r="L66" s="6">
        <f t="shared" si="46"/>
        <v>7961.1269580000007</v>
      </c>
      <c r="M66" s="6">
        <f t="shared" si="46"/>
        <v>8100.7958520000002</v>
      </c>
      <c r="N66" s="6">
        <f t="shared" si="46"/>
        <v>8240.4647459999996</v>
      </c>
      <c r="O66" s="6">
        <f t="shared" si="46"/>
        <v>8380.13364</v>
      </c>
      <c r="P66" s="6">
        <f t="shared" si="46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7">IF(E$182=0,0,SUMIFS(E$42:E$54,$A$42:$A$54,$A49)*($D67*1+E6))</f>
        <v>0</v>
      </c>
      <c r="F67" s="6">
        <f t="shared" si="47"/>
        <v>0</v>
      </c>
      <c r="G67" s="6">
        <f t="shared" si="47"/>
        <v>0</v>
      </c>
      <c r="H67" s="6">
        <f t="shared" si="47"/>
        <v>0</v>
      </c>
      <c r="I67" s="6">
        <f t="shared" si="47"/>
        <v>0</v>
      </c>
      <c r="J67" s="6">
        <f t="shared" si="47"/>
        <v>0</v>
      </c>
      <c r="K67" s="6">
        <f t="shared" si="47"/>
        <v>0</v>
      </c>
      <c r="L67" s="6">
        <f t="shared" si="47"/>
        <v>0</v>
      </c>
      <c r="M67" s="6">
        <f t="shared" si="47"/>
        <v>0</v>
      </c>
      <c r="N67" s="6">
        <f t="shared" si="47"/>
        <v>0</v>
      </c>
      <c r="O67" s="6">
        <f t="shared" si="47"/>
        <v>0</v>
      </c>
      <c r="P67" s="6">
        <f t="shared" si="47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0</v>
      </c>
      <c r="F68" s="6">
        <f t="shared" ref="F68:P68" si="48">SUM(F66:F67)</f>
        <v>7123.1135939999995</v>
      </c>
      <c r="G68" s="6">
        <f t="shared" si="48"/>
        <v>7262.7824879999998</v>
      </c>
      <c r="H68" s="6">
        <f t="shared" si="48"/>
        <v>7402.4513819999993</v>
      </c>
      <c r="I68" s="6">
        <f t="shared" si="48"/>
        <v>7542.1202760000006</v>
      </c>
      <c r="J68" s="6">
        <f t="shared" si="48"/>
        <v>7681.78917</v>
      </c>
      <c r="K68" s="6">
        <f t="shared" si="48"/>
        <v>7821.4580640000013</v>
      </c>
      <c r="L68" s="6">
        <f t="shared" si="48"/>
        <v>7961.1269580000007</v>
      </c>
      <c r="M68" s="6">
        <f t="shared" si="48"/>
        <v>8100.7958520000002</v>
      </c>
      <c r="N68" s="6">
        <f t="shared" si="48"/>
        <v>8240.4647459999996</v>
      </c>
      <c r="O68" s="6">
        <f t="shared" si="48"/>
        <v>8380.13364</v>
      </c>
      <c r="P68" s="6">
        <f t="shared" si="48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0</v>
      </c>
      <c r="F69" s="6">
        <f t="shared" ref="F69:P69" si="49">IF(F$182=0,0,SUMIFS(F$42:F$54,$A$42:$A$54,$A44)*$D69)</f>
        <v>0</v>
      </c>
      <c r="G69" s="6">
        <f t="shared" si="49"/>
        <v>0</v>
      </c>
      <c r="H69" s="6">
        <f t="shared" si="49"/>
        <v>0</v>
      </c>
      <c r="I69" s="6">
        <f t="shared" si="49"/>
        <v>0</v>
      </c>
      <c r="J69" s="6">
        <f t="shared" si="49"/>
        <v>0</v>
      </c>
      <c r="K69" s="6">
        <f t="shared" si="49"/>
        <v>0</v>
      </c>
      <c r="L69" s="6">
        <f t="shared" si="49"/>
        <v>0</v>
      </c>
      <c r="M69" s="6">
        <f t="shared" si="49"/>
        <v>529.53972885000007</v>
      </c>
      <c r="N69" s="6">
        <f t="shared" si="49"/>
        <v>538.66972417500006</v>
      </c>
      <c r="O69" s="6">
        <f t="shared" si="49"/>
        <v>547.79971950000015</v>
      </c>
      <c r="P69" s="6">
        <f t="shared" si="49"/>
        <v>556.92971482500013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1218.57275</v>
      </c>
      <c r="F70" s="6">
        <f t="shared" ref="F70:P70" si="50">IF(F$182=0,0,SUMIFS(F$42:F$54,$A$42:$A$54,$A47)*$D70)</f>
        <v>1242.9442050000002</v>
      </c>
      <c r="G70" s="6">
        <f t="shared" si="50"/>
        <v>1267.31566</v>
      </c>
      <c r="H70" s="6">
        <f t="shared" si="50"/>
        <v>1291.6871149999999</v>
      </c>
      <c r="I70" s="6">
        <f t="shared" si="50"/>
        <v>1316.0585700000001</v>
      </c>
      <c r="J70" s="6">
        <f t="shared" si="50"/>
        <v>1340.4300250000003</v>
      </c>
      <c r="K70" s="6">
        <f t="shared" si="50"/>
        <v>1364.8014800000003</v>
      </c>
      <c r="L70" s="6">
        <f t="shared" si="50"/>
        <v>1389.1729350000003</v>
      </c>
      <c r="M70" s="6">
        <f t="shared" si="50"/>
        <v>1413.5443900000002</v>
      </c>
      <c r="N70" s="6">
        <f t="shared" si="50"/>
        <v>1437.915845</v>
      </c>
      <c r="O70" s="6">
        <f t="shared" si="50"/>
        <v>1462.2873000000002</v>
      </c>
      <c r="P70" s="6">
        <f t="shared" si="50"/>
        <v>1486.6587550000002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128.18</v>
      </c>
      <c r="F71" s="6">
        <f t="shared" ref="F71:P71" si="51">IF(F$182=0,0,((SUMIFS(F$42:F$54,$A$42:$A$54,$A50))+(SUMIFS(F$42:F$54,$A$42:$A$54,$A51)))*$D71)</f>
        <v>808.0232532</v>
      </c>
      <c r="G71" s="6">
        <f t="shared" si="51"/>
        <v>823.8668464000001</v>
      </c>
      <c r="H71" s="6">
        <f t="shared" si="51"/>
        <v>839.71043960000009</v>
      </c>
      <c r="I71" s="6">
        <f t="shared" si="51"/>
        <v>855.55403280000007</v>
      </c>
      <c r="J71" s="6">
        <f t="shared" si="51"/>
        <v>871.39762600000006</v>
      </c>
      <c r="K71" s="6">
        <f t="shared" si="51"/>
        <v>887.24121920000027</v>
      </c>
      <c r="L71" s="6">
        <f t="shared" si="51"/>
        <v>903.08481240000015</v>
      </c>
      <c r="M71" s="6">
        <f t="shared" si="51"/>
        <v>918.92840560000013</v>
      </c>
      <c r="N71" s="6">
        <f t="shared" si="51"/>
        <v>934.77199880000001</v>
      </c>
      <c r="O71" s="6">
        <f t="shared" si="51"/>
        <v>950.61559199999999</v>
      </c>
      <c r="P71" s="6">
        <f t="shared" si="51"/>
        <v>966.45918520000009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0</v>
      </c>
      <c r="F72" s="6">
        <f t="shared" ref="F72:P72" si="52">IF(F$182=0,0,SUMIFS(F$42:F$54,$A$42:$A$54,$A44)*$D72)</f>
        <v>0</v>
      </c>
      <c r="G72" s="6">
        <f t="shared" si="52"/>
        <v>0</v>
      </c>
      <c r="H72" s="6">
        <f t="shared" si="52"/>
        <v>0</v>
      </c>
      <c r="I72" s="6">
        <f t="shared" si="52"/>
        <v>0</v>
      </c>
      <c r="J72" s="6">
        <f t="shared" si="52"/>
        <v>0</v>
      </c>
      <c r="K72" s="6">
        <f t="shared" si="52"/>
        <v>0</v>
      </c>
      <c r="L72" s="6">
        <f t="shared" si="52"/>
        <v>0</v>
      </c>
      <c r="M72" s="6">
        <f t="shared" si="52"/>
        <v>365.19981300000001</v>
      </c>
      <c r="N72" s="6">
        <f t="shared" si="52"/>
        <v>371.49636149999998</v>
      </c>
      <c r="O72" s="6">
        <f t="shared" si="52"/>
        <v>377.79291000000006</v>
      </c>
      <c r="P72" s="6">
        <f t="shared" si="52"/>
        <v>384.08945850000003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840.39499999999998</v>
      </c>
      <c r="F73" s="6">
        <f t="shared" ref="F73:P73" si="53">IF(F$182=0,0,SUMIFS(F$42:F$54,$A$42:$A$54,$A47)*$D73)</f>
        <v>857.20290000000011</v>
      </c>
      <c r="G73" s="6">
        <f t="shared" si="53"/>
        <v>874.01080000000002</v>
      </c>
      <c r="H73" s="6">
        <f t="shared" si="53"/>
        <v>890.81869999999992</v>
      </c>
      <c r="I73" s="6">
        <f t="shared" si="53"/>
        <v>907.62660000000005</v>
      </c>
      <c r="J73" s="6">
        <f t="shared" si="53"/>
        <v>924.43450000000018</v>
      </c>
      <c r="K73" s="6">
        <f t="shared" si="53"/>
        <v>941.2424000000002</v>
      </c>
      <c r="L73" s="6">
        <f t="shared" si="53"/>
        <v>958.05030000000011</v>
      </c>
      <c r="M73" s="6">
        <f t="shared" si="53"/>
        <v>974.85820000000012</v>
      </c>
      <c r="N73" s="6">
        <f t="shared" si="53"/>
        <v>991.66610000000003</v>
      </c>
      <c r="O73" s="6">
        <f t="shared" si="53"/>
        <v>1008.4740000000002</v>
      </c>
      <c r="P73" s="6">
        <f t="shared" si="53"/>
        <v>1025.2819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88.4</v>
      </c>
      <c r="F74" s="6">
        <f t="shared" ref="F74:P74" si="54">IF(F$182=0,0,((SUMIFS(F$42:F$54,$A$42:$A$54,$A50))+(SUMIFS(F$42:F$54,$A$42:$A$54,B51)))*$D74)</f>
        <v>467.08941599999997</v>
      </c>
      <c r="G74" s="6">
        <f t="shared" si="54"/>
        <v>476.24803200000002</v>
      </c>
      <c r="H74" s="6">
        <f t="shared" si="54"/>
        <v>485.40664800000002</v>
      </c>
      <c r="I74" s="6">
        <f t="shared" si="54"/>
        <v>494.56526400000001</v>
      </c>
      <c r="J74" s="6">
        <f t="shared" si="54"/>
        <v>503.72388000000001</v>
      </c>
      <c r="K74" s="6">
        <f t="shared" si="54"/>
        <v>512.88249600000006</v>
      </c>
      <c r="L74" s="6">
        <f t="shared" si="54"/>
        <v>522.04111200000011</v>
      </c>
      <c r="M74" s="6">
        <f t="shared" si="54"/>
        <v>531.19972800000005</v>
      </c>
      <c r="N74" s="6">
        <f t="shared" si="54"/>
        <v>540.35834399999999</v>
      </c>
      <c r="O74" s="6">
        <f t="shared" si="54"/>
        <v>549.51696000000004</v>
      </c>
      <c r="P74" s="6">
        <f t="shared" si="54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IF(E$182=0,0,SUMIFS(E$42:E$54,$A$42:$A$54,$A44)*$D75)</f>
        <v>0</v>
      </c>
      <c r="F75" s="6">
        <f t="shared" ref="F75:P75" si="55">IF(F$182=0,0,SUMIFS(F$42:F$54,$A$42:$A$54,$A44)*$D75)</f>
        <v>0</v>
      </c>
      <c r="G75" s="6">
        <f t="shared" si="55"/>
        <v>0</v>
      </c>
      <c r="H75" s="6">
        <f t="shared" si="55"/>
        <v>0</v>
      </c>
      <c r="I75" s="6">
        <f t="shared" si="55"/>
        <v>0</v>
      </c>
      <c r="J75" s="6">
        <f t="shared" si="55"/>
        <v>0</v>
      </c>
      <c r="K75" s="6">
        <f t="shared" si="55"/>
        <v>0</v>
      </c>
      <c r="L75" s="6">
        <f t="shared" si="55"/>
        <v>0</v>
      </c>
      <c r="M75" s="6">
        <f t="shared" si="55"/>
        <v>255.6398691</v>
      </c>
      <c r="N75" s="6">
        <f t="shared" si="55"/>
        <v>260.04745305</v>
      </c>
      <c r="O75" s="6">
        <f t="shared" si="55"/>
        <v>264.45503700000006</v>
      </c>
      <c r="P75" s="6">
        <f t="shared" si="55"/>
        <v>268.86262095000001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588.27650000000006</v>
      </c>
      <c r="F76" s="6">
        <f t="shared" ref="F76:P76" si="56">IF(F$182=0,0,SUMIFS(F$42:F$54,$A$42:$A$54,$A47)*$D76)</f>
        <v>600.04203000000007</v>
      </c>
      <c r="G76" s="6">
        <f t="shared" si="56"/>
        <v>611.80756000000008</v>
      </c>
      <c r="H76" s="6">
        <f t="shared" si="56"/>
        <v>623.57308999999998</v>
      </c>
      <c r="I76" s="6">
        <f t="shared" si="56"/>
        <v>635.33861999999999</v>
      </c>
      <c r="J76" s="6">
        <f t="shared" si="56"/>
        <v>647.10415000000012</v>
      </c>
      <c r="K76" s="6">
        <f t="shared" si="56"/>
        <v>658.86968000000013</v>
      </c>
      <c r="L76" s="6">
        <f t="shared" si="56"/>
        <v>670.63521000000014</v>
      </c>
      <c r="M76" s="6">
        <f t="shared" si="56"/>
        <v>682.40074000000004</v>
      </c>
      <c r="N76" s="6">
        <f t="shared" si="56"/>
        <v>694.16627000000005</v>
      </c>
      <c r="O76" s="6">
        <f t="shared" si="56"/>
        <v>705.93180000000007</v>
      </c>
      <c r="P76" s="6">
        <f t="shared" si="56"/>
        <v>717.69733000000008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61.88</v>
      </c>
      <c r="F77" s="6">
        <f t="shared" ref="F77:P77" si="57">IF(F$182=0,0,((SUMIFS(F$42:F$54,$A$42:$A$54,$A50))+(SUMIFS(F$42:F$54,$A$42:$A$54,$A51)))*$D77)</f>
        <v>390.08019119999994</v>
      </c>
      <c r="G77" s="6">
        <f t="shared" si="57"/>
        <v>397.72882240000001</v>
      </c>
      <c r="H77" s="6">
        <f t="shared" si="57"/>
        <v>405.37745360000002</v>
      </c>
      <c r="I77" s="6">
        <f t="shared" si="57"/>
        <v>413.02608479999998</v>
      </c>
      <c r="J77" s="6">
        <f t="shared" si="57"/>
        <v>420.67471599999999</v>
      </c>
      <c r="K77" s="6">
        <f t="shared" si="57"/>
        <v>428.32334720000011</v>
      </c>
      <c r="L77" s="6">
        <f t="shared" si="57"/>
        <v>435.97197840000007</v>
      </c>
      <c r="M77" s="6">
        <f t="shared" si="57"/>
        <v>443.62060960000002</v>
      </c>
      <c r="N77" s="6">
        <f t="shared" si="57"/>
        <v>451.26924079999998</v>
      </c>
      <c r="O77" s="6">
        <f t="shared" si="57"/>
        <v>458.91787199999999</v>
      </c>
      <c r="P77" s="6">
        <f t="shared" si="57"/>
        <v>466.56650320000006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IF(E$182=0,0,(E200*$D78*12)*(1+E9))</f>
        <v>0</v>
      </c>
      <c r="F78" s="6">
        <f t="shared" ref="F78:P78" si="58">IF(F$182=0,0,(F200*$D78*12)*(1+F9))</f>
        <v>0</v>
      </c>
      <c r="G78" s="6">
        <f t="shared" si="58"/>
        <v>0</v>
      </c>
      <c r="H78" s="6">
        <f t="shared" si="58"/>
        <v>0</v>
      </c>
      <c r="I78" s="6">
        <f t="shared" si="58"/>
        <v>0</v>
      </c>
      <c r="J78" s="6">
        <f t="shared" si="58"/>
        <v>0</v>
      </c>
      <c r="K78" s="6">
        <f t="shared" si="58"/>
        <v>0</v>
      </c>
      <c r="L78" s="6">
        <f t="shared" si="58"/>
        <v>0</v>
      </c>
      <c r="M78" s="6">
        <f t="shared" si="58"/>
        <v>2772</v>
      </c>
      <c r="N78" s="6">
        <f t="shared" si="58"/>
        <v>2855.9999999999995</v>
      </c>
      <c r="O78" s="6">
        <f t="shared" si="58"/>
        <v>2940</v>
      </c>
      <c r="P78" s="6">
        <f t="shared" si="58"/>
        <v>3024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6">
        <f>IF(E$182=0,0,(E203*$D79*12)*(1+E9))</f>
        <v>4200</v>
      </c>
      <c r="F79" s="6">
        <f t="shared" ref="F79:P79" si="59">IF(F$182=0,0,(F203*$D79*12)*(1+F9))</f>
        <v>4368</v>
      </c>
      <c r="G79" s="6">
        <f t="shared" si="59"/>
        <v>4536</v>
      </c>
      <c r="H79" s="6">
        <f t="shared" si="59"/>
        <v>4704</v>
      </c>
      <c r="I79" s="6">
        <f t="shared" si="59"/>
        <v>4872</v>
      </c>
      <c r="J79" s="6">
        <f t="shared" si="59"/>
        <v>5040</v>
      </c>
      <c r="K79" s="6">
        <f t="shared" si="59"/>
        <v>5208</v>
      </c>
      <c r="L79" s="6">
        <f t="shared" si="59"/>
        <v>5376</v>
      </c>
      <c r="M79" s="6">
        <f t="shared" si="59"/>
        <v>5544</v>
      </c>
      <c r="N79" s="6">
        <f t="shared" si="59"/>
        <v>5711.9999999999991</v>
      </c>
      <c r="O79" s="6">
        <f t="shared" si="59"/>
        <v>5880</v>
      </c>
      <c r="P79" s="6">
        <f t="shared" si="59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32">
        <f>IF(E$182=0,0,(E204*$D80*12)*(1+E9))</f>
        <v>0</v>
      </c>
      <c r="F80" s="32">
        <f t="shared" ref="F80:P80" si="60">IF(F$182=0,0,(F204*$D80*12)*(1+F9))</f>
        <v>4368</v>
      </c>
      <c r="G80" s="32">
        <f t="shared" si="60"/>
        <v>4536</v>
      </c>
      <c r="H80" s="32">
        <f t="shared" si="60"/>
        <v>4704</v>
      </c>
      <c r="I80" s="32">
        <f t="shared" si="60"/>
        <v>4872</v>
      </c>
      <c r="J80" s="32">
        <f t="shared" si="60"/>
        <v>5040</v>
      </c>
      <c r="K80" s="32">
        <f t="shared" si="60"/>
        <v>5208</v>
      </c>
      <c r="L80" s="32">
        <f t="shared" si="60"/>
        <v>5376</v>
      </c>
      <c r="M80" s="32">
        <f t="shared" si="60"/>
        <v>5544</v>
      </c>
      <c r="N80" s="32">
        <f t="shared" si="60"/>
        <v>5711.9999999999991</v>
      </c>
      <c r="O80" s="32">
        <f t="shared" si="60"/>
        <v>5880</v>
      </c>
      <c r="P80" s="32">
        <f t="shared" si="60"/>
        <v>6048</v>
      </c>
    </row>
    <row r="81" spans="1:16" s="2" customFormat="1" collapsed="1" x14ac:dyDescent="0.25">
      <c r="A81" s="62">
        <v>200</v>
      </c>
      <c r="B81" s="18" t="s">
        <v>106</v>
      </c>
      <c r="C81" s="18"/>
      <c r="E81" s="6">
        <f>SUM(E56:E80)-E68-E65-E62</f>
        <v>31667.061499999993</v>
      </c>
      <c r="F81" s="6">
        <f t="shared" ref="F81:P81" si="61">SUM(F56:F80)-F68-F65-F62</f>
        <v>46413.380517000027</v>
      </c>
      <c r="G81" s="6">
        <f t="shared" si="61"/>
        <v>47488.152683999986</v>
      </c>
      <c r="H81" s="6">
        <f t="shared" si="61"/>
        <v>48562.924851000018</v>
      </c>
      <c r="I81" s="6">
        <f t="shared" si="61"/>
        <v>49637.697018000021</v>
      </c>
      <c r="J81" s="6">
        <f t="shared" si="61"/>
        <v>50712.469185000009</v>
      </c>
      <c r="K81" s="6">
        <f t="shared" si="61"/>
        <v>51787.241352000012</v>
      </c>
      <c r="L81" s="6">
        <f t="shared" si="61"/>
        <v>52862.013519000015</v>
      </c>
      <c r="M81" s="6">
        <f t="shared" si="61"/>
        <v>63629.322142349993</v>
      </c>
      <c r="N81" s="6">
        <f t="shared" si="61"/>
        <v>64907.413903425004</v>
      </c>
      <c r="O81" s="6">
        <f t="shared" si="61"/>
        <v>66185.50566450003</v>
      </c>
      <c r="P81" s="6">
        <f t="shared" si="61"/>
        <v>67463.597425575004</v>
      </c>
    </row>
    <row r="82" spans="1:16" s="2" customFormat="1" x14ac:dyDescent="0.25">
      <c r="A82" s="2">
        <v>300</v>
      </c>
      <c r="B82" s="18" t="s">
        <v>484</v>
      </c>
      <c r="C82" s="297" t="s">
        <v>703</v>
      </c>
      <c r="D82" s="164">
        <v>4</v>
      </c>
      <c r="E82" s="154">
        <f>IF(E$182=0,0,$D82*350)</f>
        <v>1400</v>
      </c>
      <c r="F82" s="154">
        <f t="shared" ref="F82:P82" si="62">IF(F$182=0,0,$D82*350)</f>
        <v>1400</v>
      </c>
      <c r="G82" s="154">
        <f t="shared" si="62"/>
        <v>1400</v>
      </c>
      <c r="H82" s="154">
        <f t="shared" si="62"/>
        <v>1400</v>
      </c>
      <c r="I82" s="154">
        <f t="shared" si="62"/>
        <v>1400</v>
      </c>
      <c r="J82" s="154">
        <f t="shared" si="62"/>
        <v>1400</v>
      </c>
      <c r="K82" s="154">
        <f t="shared" si="62"/>
        <v>1400</v>
      </c>
      <c r="L82" s="154">
        <f t="shared" si="62"/>
        <v>1400</v>
      </c>
      <c r="M82" s="154">
        <f t="shared" si="62"/>
        <v>1400</v>
      </c>
      <c r="N82" s="154">
        <f t="shared" si="62"/>
        <v>1400</v>
      </c>
      <c r="O82" s="154">
        <f t="shared" si="62"/>
        <v>1400</v>
      </c>
      <c r="P82" s="154">
        <f t="shared" si="62"/>
        <v>1400</v>
      </c>
    </row>
    <row r="83" spans="1:16" s="2" customFormat="1" x14ac:dyDescent="0.25">
      <c r="A83" s="2">
        <v>300</v>
      </c>
      <c r="B83" s="18" t="s">
        <v>755</v>
      </c>
      <c r="C83" s="2" t="s">
        <v>486</v>
      </c>
      <c r="D83" s="95">
        <v>0</v>
      </c>
      <c r="E83" s="10">
        <f>IF(E$182=0,0,($D83*E23)/$D$23)</f>
        <v>0</v>
      </c>
      <c r="F83" s="10">
        <f t="shared" ref="F83:P83" si="63">IF(F$182=0,0,($D83*F23)/$D$23)</f>
        <v>0</v>
      </c>
      <c r="G83" s="10">
        <f t="shared" si="63"/>
        <v>0</v>
      </c>
      <c r="H83" s="10">
        <f t="shared" si="63"/>
        <v>0</v>
      </c>
      <c r="I83" s="10">
        <f t="shared" si="63"/>
        <v>0</v>
      </c>
      <c r="J83" s="10">
        <f t="shared" si="63"/>
        <v>0</v>
      </c>
      <c r="K83" s="10">
        <f t="shared" si="63"/>
        <v>0</v>
      </c>
      <c r="L83" s="10">
        <f t="shared" si="63"/>
        <v>0</v>
      </c>
      <c r="M83" s="10">
        <f t="shared" si="63"/>
        <v>0</v>
      </c>
      <c r="N83" s="10">
        <f t="shared" si="63"/>
        <v>0</v>
      </c>
      <c r="O83" s="10">
        <f t="shared" si="63"/>
        <v>0</v>
      </c>
      <c r="P83" s="10">
        <f t="shared" si="63"/>
        <v>0</v>
      </c>
    </row>
    <row r="84" spans="1:16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0">
        <f>IF(E$182=0,0,($D84*E23)/$D$23)</f>
        <v>8756.0625</v>
      </c>
      <c r="F84" s="10">
        <f t="shared" ref="F84:P84" si="64">IF(F$182=0,0,($D84*F23)/$D$23)</f>
        <v>11416.360312499999</v>
      </c>
      <c r="G84" s="10">
        <f t="shared" si="64"/>
        <v>12547.617834375</v>
      </c>
      <c r="H84" s="10">
        <f t="shared" si="64"/>
        <v>13273.811216539456</v>
      </c>
      <c r="I84" s="10">
        <f t="shared" si="64"/>
        <v>14010.19169593319</v>
      </c>
      <c r="J84" s="10">
        <f t="shared" si="64"/>
        <v>14863.805080134272</v>
      </c>
      <c r="K84" s="10">
        <f t="shared" si="64"/>
        <v>15729.434591815476</v>
      </c>
      <c r="L84" s="10">
        <f t="shared" si="64"/>
        <v>16607.212457136138</v>
      </c>
      <c r="M84" s="10">
        <f t="shared" si="64"/>
        <v>17606.6301610517</v>
      </c>
      <c r="N84" s="10">
        <f t="shared" si="64"/>
        <v>18620.104974825284</v>
      </c>
      <c r="O84" s="10">
        <f t="shared" si="64"/>
        <v>19647.79153785891</v>
      </c>
      <c r="P84" s="10">
        <f t="shared" si="64"/>
        <v>20801.683023938254</v>
      </c>
    </row>
    <row r="85" spans="1:16" s="2" customFormat="1" hidden="1" outlineLevel="1" x14ac:dyDescent="0.25">
      <c r="A85" s="62">
        <v>6300</v>
      </c>
      <c r="B85" s="18" t="s">
        <v>595</v>
      </c>
      <c r="C85" s="297" t="s">
        <v>584</v>
      </c>
      <c r="D85" s="164">
        <v>0</v>
      </c>
      <c r="E85" s="107">
        <f>IF(E$182=0,0,$D85*250)</f>
        <v>0</v>
      </c>
      <c r="F85" s="107">
        <f t="shared" ref="F85:P85" si="65">IF(F$182=0,0,$D85*250)</f>
        <v>0</v>
      </c>
      <c r="G85" s="107">
        <f t="shared" si="65"/>
        <v>0</v>
      </c>
      <c r="H85" s="107">
        <f t="shared" si="65"/>
        <v>0</v>
      </c>
      <c r="I85" s="107">
        <f t="shared" si="65"/>
        <v>0</v>
      </c>
      <c r="J85" s="107">
        <f t="shared" si="65"/>
        <v>0</v>
      </c>
      <c r="K85" s="107">
        <f t="shared" si="65"/>
        <v>0</v>
      </c>
      <c r="L85" s="107">
        <f t="shared" si="65"/>
        <v>0</v>
      </c>
      <c r="M85" s="107">
        <f t="shared" si="65"/>
        <v>0</v>
      </c>
      <c r="N85" s="107">
        <f t="shared" si="65"/>
        <v>0</v>
      </c>
      <c r="O85" s="107">
        <f t="shared" si="65"/>
        <v>0</v>
      </c>
      <c r="P85" s="107">
        <f t="shared" si="65"/>
        <v>0</v>
      </c>
    </row>
    <row r="86" spans="1:16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2</v>
      </c>
      <c r="E86" s="6">
        <f t="shared" ref="E86:P86" si="66">IF(E$182=0,0,ROUND(($D86*(1+E$5))*E$182,0))</f>
        <v>170</v>
      </c>
      <c r="F86" s="6">
        <f t="shared" si="66"/>
        <v>224</v>
      </c>
      <c r="G86" s="6">
        <f t="shared" si="66"/>
        <v>250</v>
      </c>
      <c r="H86" s="6">
        <f t="shared" si="66"/>
        <v>267</v>
      </c>
      <c r="I86" s="6">
        <f t="shared" si="66"/>
        <v>285</v>
      </c>
      <c r="J86" s="6">
        <f t="shared" si="66"/>
        <v>306</v>
      </c>
      <c r="K86" s="6">
        <f t="shared" si="66"/>
        <v>327</v>
      </c>
      <c r="L86" s="6">
        <f t="shared" si="66"/>
        <v>349</v>
      </c>
      <c r="M86" s="6">
        <f t="shared" si="66"/>
        <v>374</v>
      </c>
      <c r="N86" s="6">
        <f t="shared" si="66"/>
        <v>399</v>
      </c>
      <c r="O86" s="6">
        <f t="shared" si="66"/>
        <v>425</v>
      </c>
      <c r="P86" s="6">
        <f t="shared" si="66"/>
        <v>454</v>
      </c>
    </row>
    <row r="87" spans="1:16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10</v>
      </c>
      <c r="E87" s="107">
        <f>IF(E$182=0,0,$D87*10)</f>
        <v>100</v>
      </c>
      <c r="F87" s="107">
        <f t="shared" ref="F87:P87" si="67">IF(F$182=0,0,$D87*10)</f>
        <v>100</v>
      </c>
      <c r="G87" s="107">
        <f t="shared" si="67"/>
        <v>100</v>
      </c>
      <c r="H87" s="107">
        <f t="shared" si="67"/>
        <v>100</v>
      </c>
      <c r="I87" s="107">
        <f t="shared" si="67"/>
        <v>100</v>
      </c>
      <c r="J87" s="107">
        <f t="shared" si="67"/>
        <v>100</v>
      </c>
      <c r="K87" s="107">
        <f t="shared" si="67"/>
        <v>100</v>
      </c>
      <c r="L87" s="107">
        <f t="shared" si="67"/>
        <v>100</v>
      </c>
      <c r="M87" s="107">
        <f t="shared" si="67"/>
        <v>100</v>
      </c>
      <c r="N87" s="107">
        <f t="shared" si="67"/>
        <v>100</v>
      </c>
      <c r="O87" s="107">
        <f t="shared" si="67"/>
        <v>100</v>
      </c>
      <c r="P87" s="107">
        <f t="shared" si="67"/>
        <v>100</v>
      </c>
    </row>
    <row r="88" spans="1:16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40</v>
      </c>
      <c r="E88" s="107">
        <f>IF(E$182=0,0,$D88*25)</f>
        <v>1000</v>
      </c>
      <c r="F88" s="107">
        <f t="shared" ref="F88:P88" si="68">IF(F$182=0,0,$D88*25)</f>
        <v>1000</v>
      </c>
      <c r="G88" s="107">
        <f t="shared" si="68"/>
        <v>1000</v>
      </c>
      <c r="H88" s="107">
        <f t="shared" si="68"/>
        <v>1000</v>
      </c>
      <c r="I88" s="107">
        <f t="shared" si="68"/>
        <v>1000</v>
      </c>
      <c r="J88" s="107">
        <f t="shared" si="68"/>
        <v>1000</v>
      </c>
      <c r="K88" s="107">
        <f t="shared" si="68"/>
        <v>1000</v>
      </c>
      <c r="L88" s="107">
        <f t="shared" si="68"/>
        <v>1000</v>
      </c>
      <c r="M88" s="107">
        <f t="shared" si="68"/>
        <v>1000</v>
      </c>
      <c r="N88" s="107">
        <f t="shared" si="68"/>
        <v>1000</v>
      </c>
      <c r="O88" s="107">
        <f t="shared" si="68"/>
        <v>1000</v>
      </c>
      <c r="P88" s="107">
        <f t="shared" si="68"/>
        <v>1000</v>
      </c>
    </row>
    <row r="89" spans="1:16" s="2" customFormat="1" hidden="1" outlineLevel="1" x14ac:dyDescent="0.25">
      <c r="A89" s="62">
        <v>6300</v>
      </c>
      <c r="B89" s="18" t="s">
        <v>598</v>
      </c>
      <c r="C89" s="2" t="s">
        <v>661</v>
      </c>
      <c r="D89" s="164">
        <v>15</v>
      </c>
      <c r="E89" s="107">
        <f>IF(E$182=0,0,$D89*40)</f>
        <v>600</v>
      </c>
      <c r="F89" s="107">
        <f t="shared" ref="F89:P89" si="69">IF(F$182=0,0,$D89*40)</f>
        <v>600</v>
      </c>
      <c r="G89" s="107">
        <f t="shared" si="69"/>
        <v>600</v>
      </c>
      <c r="H89" s="107">
        <f t="shared" si="69"/>
        <v>600</v>
      </c>
      <c r="I89" s="107">
        <f t="shared" si="69"/>
        <v>600</v>
      </c>
      <c r="J89" s="107">
        <f t="shared" si="69"/>
        <v>600</v>
      </c>
      <c r="K89" s="107">
        <f t="shared" si="69"/>
        <v>600</v>
      </c>
      <c r="L89" s="107">
        <f t="shared" si="69"/>
        <v>600</v>
      </c>
      <c r="M89" s="107">
        <f t="shared" si="69"/>
        <v>600</v>
      </c>
      <c r="N89" s="107">
        <f t="shared" si="69"/>
        <v>600</v>
      </c>
      <c r="O89" s="107">
        <f t="shared" si="69"/>
        <v>600</v>
      </c>
      <c r="P89" s="107">
        <f t="shared" si="69"/>
        <v>600</v>
      </c>
    </row>
    <row r="90" spans="1:16" s="2" customFormat="1" hidden="1" outlineLevel="1" x14ac:dyDescent="0.25">
      <c r="A90" s="62">
        <v>6300</v>
      </c>
      <c r="B90" s="18" t="s">
        <v>600</v>
      </c>
      <c r="C90" s="2" t="s">
        <v>662</v>
      </c>
      <c r="D90" s="164">
        <v>0</v>
      </c>
      <c r="E90" s="107">
        <f>IF(E$182=0,0,$D90*125)</f>
        <v>0</v>
      </c>
      <c r="F90" s="107">
        <f t="shared" ref="F90:P90" si="70">IF(F$182=0,0,$D90*125)</f>
        <v>0</v>
      </c>
      <c r="G90" s="107">
        <f t="shared" si="70"/>
        <v>0</v>
      </c>
      <c r="H90" s="107">
        <f t="shared" si="70"/>
        <v>0</v>
      </c>
      <c r="I90" s="107">
        <f t="shared" si="70"/>
        <v>0</v>
      </c>
      <c r="J90" s="107">
        <f t="shared" si="70"/>
        <v>0</v>
      </c>
      <c r="K90" s="107">
        <f t="shared" si="70"/>
        <v>0</v>
      </c>
      <c r="L90" s="107">
        <f t="shared" si="70"/>
        <v>0</v>
      </c>
      <c r="M90" s="107">
        <f t="shared" si="70"/>
        <v>0</v>
      </c>
      <c r="N90" s="107">
        <f t="shared" si="70"/>
        <v>0</v>
      </c>
      <c r="O90" s="107">
        <f t="shared" si="70"/>
        <v>0</v>
      </c>
      <c r="P90" s="107">
        <f t="shared" si="70"/>
        <v>0</v>
      </c>
    </row>
    <row r="91" spans="1:16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32">
        <f>IF(E$182=0,0,$D91*50)</f>
        <v>0</v>
      </c>
      <c r="F91" s="32">
        <f t="shared" ref="F91:P91" si="71">IF(F$182=0,0,$D91*50)</f>
        <v>0</v>
      </c>
      <c r="G91" s="32">
        <f t="shared" si="71"/>
        <v>0</v>
      </c>
      <c r="H91" s="32">
        <f t="shared" si="71"/>
        <v>0</v>
      </c>
      <c r="I91" s="32">
        <f t="shared" si="71"/>
        <v>0</v>
      </c>
      <c r="J91" s="32">
        <f t="shared" si="71"/>
        <v>0</v>
      </c>
      <c r="K91" s="32">
        <f t="shared" si="71"/>
        <v>0</v>
      </c>
      <c r="L91" s="32">
        <f t="shared" si="71"/>
        <v>0</v>
      </c>
      <c r="M91" s="32">
        <f t="shared" si="71"/>
        <v>0</v>
      </c>
      <c r="N91" s="32">
        <f t="shared" si="71"/>
        <v>0</v>
      </c>
      <c r="O91" s="32">
        <f t="shared" si="71"/>
        <v>0</v>
      </c>
      <c r="P91" s="32">
        <f t="shared" si="71"/>
        <v>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6">
        <f>SUM(E85:E91)</f>
        <v>1870</v>
      </c>
      <c r="F92" s="6">
        <f t="shared" ref="F92:P92" si="72">SUM(F85:F91)</f>
        <v>1924</v>
      </c>
      <c r="G92" s="6">
        <f t="shared" si="72"/>
        <v>1950</v>
      </c>
      <c r="H92" s="6">
        <f t="shared" si="72"/>
        <v>1967</v>
      </c>
      <c r="I92" s="6">
        <f t="shared" si="72"/>
        <v>1985</v>
      </c>
      <c r="J92" s="6">
        <f t="shared" si="72"/>
        <v>2006</v>
      </c>
      <c r="K92" s="6">
        <f t="shared" si="72"/>
        <v>2027</v>
      </c>
      <c r="L92" s="6">
        <f t="shared" si="72"/>
        <v>2049</v>
      </c>
      <c r="M92" s="6">
        <f t="shared" si="72"/>
        <v>2074</v>
      </c>
      <c r="N92" s="6">
        <f t="shared" si="72"/>
        <v>2099</v>
      </c>
      <c r="O92" s="6">
        <f t="shared" si="72"/>
        <v>2125</v>
      </c>
      <c r="P92" s="6">
        <f t="shared" si="72"/>
        <v>2154</v>
      </c>
    </row>
    <row r="93" spans="1:16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6">
        <f t="shared" ref="E93:P94" si="73">IF(E$182=0,0,($D93*(1+E$5)))</f>
        <v>0</v>
      </c>
      <c r="F93" s="6">
        <f t="shared" si="73"/>
        <v>0</v>
      </c>
      <c r="G93" s="6">
        <f t="shared" si="73"/>
        <v>0</v>
      </c>
      <c r="H93" s="6">
        <f t="shared" si="73"/>
        <v>0</v>
      </c>
      <c r="I93" s="6">
        <f t="shared" si="73"/>
        <v>0</v>
      </c>
      <c r="J93" s="6">
        <f t="shared" si="73"/>
        <v>0</v>
      </c>
      <c r="K93" s="6">
        <f t="shared" si="73"/>
        <v>0</v>
      </c>
      <c r="L93" s="6">
        <f t="shared" si="73"/>
        <v>0</v>
      </c>
      <c r="M93" s="6">
        <f t="shared" si="73"/>
        <v>0</v>
      </c>
      <c r="N93" s="6">
        <f t="shared" si="73"/>
        <v>0</v>
      </c>
      <c r="O93" s="6">
        <f t="shared" si="73"/>
        <v>0</v>
      </c>
      <c r="P93" s="6">
        <f t="shared" si="73"/>
        <v>0</v>
      </c>
    </row>
    <row r="94" spans="1:16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07">
        <f t="shared" si="73"/>
        <v>0</v>
      </c>
      <c r="F94" s="107">
        <f t="shared" si="73"/>
        <v>0</v>
      </c>
      <c r="G94" s="107">
        <f t="shared" si="73"/>
        <v>0</v>
      </c>
      <c r="H94" s="107">
        <f t="shared" si="73"/>
        <v>0</v>
      </c>
      <c r="I94" s="107">
        <f t="shared" si="73"/>
        <v>0</v>
      </c>
      <c r="J94" s="107">
        <f t="shared" si="73"/>
        <v>0</v>
      </c>
      <c r="K94" s="107">
        <f t="shared" si="73"/>
        <v>0</v>
      </c>
      <c r="L94" s="107">
        <f t="shared" si="73"/>
        <v>0</v>
      </c>
      <c r="M94" s="107">
        <f t="shared" si="73"/>
        <v>0</v>
      </c>
      <c r="N94" s="107">
        <f t="shared" si="73"/>
        <v>0</v>
      </c>
      <c r="O94" s="107">
        <f t="shared" si="73"/>
        <v>0</v>
      </c>
      <c r="P94" s="107">
        <f t="shared" si="73"/>
        <v>0</v>
      </c>
    </row>
    <row r="95" spans="1:16" s="2" customFormat="1" hidden="1" outlineLevel="2" x14ac:dyDescent="0.25">
      <c r="A95" s="62">
        <v>6320</v>
      </c>
      <c r="B95" s="18" t="s">
        <v>433</v>
      </c>
      <c r="C95" s="2" t="s">
        <v>603</v>
      </c>
      <c r="D95" s="96">
        <v>1000</v>
      </c>
      <c r="E95" s="32">
        <f>IF(E$182=0,0,($D95*(0.5*E185)))</f>
        <v>1000</v>
      </c>
      <c r="F95" s="32">
        <f t="shared" ref="F95:P95" si="74">IF(F$182=0,0,($D95*(0.5*F185)))</f>
        <v>1000</v>
      </c>
      <c r="G95" s="32">
        <f t="shared" si="74"/>
        <v>1000</v>
      </c>
      <c r="H95" s="32">
        <f t="shared" si="74"/>
        <v>1500</v>
      </c>
      <c r="I95" s="32">
        <f t="shared" si="74"/>
        <v>1500</v>
      </c>
      <c r="J95" s="32">
        <f t="shared" si="74"/>
        <v>1500</v>
      </c>
      <c r="K95" s="32">
        <f t="shared" si="74"/>
        <v>1500</v>
      </c>
      <c r="L95" s="32">
        <f t="shared" si="74"/>
        <v>1500</v>
      </c>
      <c r="M95" s="32">
        <f t="shared" si="74"/>
        <v>1500</v>
      </c>
      <c r="N95" s="32">
        <f t="shared" si="74"/>
        <v>1500</v>
      </c>
      <c r="O95" s="32">
        <f t="shared" si="74"/>
        <v>2000</v>
      </c>
      <c r="P95" s="32">
        <f t="shared" si="74"/>
        <v>2000</v>
      </c>
    </row>
    <row r="96" spans="1:16" s="2" customFormat="1" collapsed="1" x14ac:dyDescent="0.25">
      <c r="A96" s="2">
        <v>320</v>
      </c>
      <c r="B96" s="18" t="s">
        <v>434</v>
      </c>
      <c r="E96" s="10">
        <f>SUM(E93:E95)</f>
        <v>1000</v>
      </c>
      <c r="F96" s="10">
        <f t="shared" ref="F96:P96" si="75">SUM(F93:F95)</f>
        <v>1000</v>
      </c>
      <c r="G96" s="10">
        <f t="shared" si="75"/>
        <v>1000</v>
      </c>
      <c r="H96" s="10">
        <f t="shared" si="75"/>
        <v>1500</v>
      </c>
      <c r="I96" s="10">
        <f t="shared" si="75"/>
        <v>1500</v>
      </c>
      <c r="J96" s="10">
        <f t="shared" si="75"/>
        <v>1500</v>
      </c>
      <c r="K96" s="10">
        <f t="shared" si="75"/>
        <v>1500</v>
      </c>
      <c r="L96" s="10">
        <f t="shared" si="75"/>
        <v>1500</v>
      </c>
      <c r="M96" s="10">
        <f t="shared" si="75"/>
        <v>1500</v>
      </c>
      <c r="N96" s="10">
        <f t="shared" si="75"/>
        <v>1500</v>
      </c>
      <c r="O96" s="10">
        <f t="shared" si="75"/>
        <v>2000</v>
      </c>
      <c r="P96" s="10">
        <f t="shared" si="75"/>
        <v>2000</v>
      </c>
    </row>
    <row r="97" spans="1:16" s="2" customFormat="1" hidden="1" outlineLevel="2" x14ac:dyDescent="0.25">
      <c r="A97" s="62">
        <v>6331</v>
      </c>
      <c r="B97" s="18" t="s">
        <v>436</v>
      </c>
      <c r="C97" s="302" t="s">
        <v>630</v>
      </c>
      <c r="D97" s="96">
        <v>750</v>
      </c>
      <c r="E97" s="6">
        <f>IF(E$182=0,0,((SUMIFS(E$188:E$196,$A$188:$A$196,$A188)))*$D97)</f>
        <v>0</v>
      </c>
      <c r="F97" s="6">
        <f t="shared" ref="F97:P97" si="76">IF(F$182=0,0,((SUMIFS(F$188:F$196,$A$188:$A$196,$A188)))*$D97)</f>
        <v>0</v>
      </c>
      <c r="G97" s="6">
        <f t="shared" si="76"/>
        <v>0</v>
      </c>
      <c r="H97" s="6">
        <f t="shared" si="76"/>
        <v>0</v>
      </c>
      <c r="I97" s="6">
        <f t="shared" si="76"/>
        <v>0</v>
      </c>
      <c r="J97" s="6">
        <f t="shared" si="76"/>
        <v>0</v>
      </c>
      <c r="K97" s="6">
        <f t="shared" si="76"/>
        <v>0</v>
      </c>
      <c r="L97" s="6">
        <f t="shared" si="76"/>
        <v>0</v>
      </c>
      <c r="M97" s="6">
        <f t="shared" si="76"/>
        <v>375</v>
      </c>
      <c r="N97" s="6">
        <f t="shared" si="76"/>
        <v>375</v>
      </c>
      <c r="O97" s="6">
        <f t="shared" si="76"/>
        <v>375</v>
      </c>
      <c r="P97" s="6">
        <f t="shared" si="76"/>
        <v>375</v>
      </c>
    </row>
    <row r="98" spans="1:16" s="2" customFormat="1" hidden="1" outlineLevel="2" x14ac:dyDescent="0.25">
      <c r="A98" s="62">
        <v>6333</v>
      </c>
      <c r="B98" s="18" t="s">
        <v>437</v>
      </c>
      <c r="C98" s="302" t="s">
        <v>629</v>
      </c>
      <c r="D98" s="96">
        <v>1000</v>
      </c>
      <c r="E98" s="6">
        <f>IF(E$182=0,0,((SUMIFS(E$188:E$196,$A$188:$A$196,$A189)))*$D98)</f>
        <v>1000</v>
      </c>
      <c r="F98" s="6">
        <f t="shared" ref="F98:P98" si="77">IF(F$182=0,0,((SUMIFS(F$188:F$196,$A$188:$A$196,$A189)))*$D98)</f>
        <v>1000</v>
      </c>
      <c r="G98" s="6">
        <f t="shared" si="77"/>
        <v>1000</v>
      </c>
      <c r="H98" s="6">
        <f t="shared" si="77"/>
        <v>1000</v>
      </c>
      <c r="I98" s="6">
        <f t="shared" si="77"/>
        <v>1000</v>
      </c>
      <c r="J98" s="6">
        <f t="shared" si="77"/>
        <v>1000</v>
      </c>
      <c r="K98" s="6">
        <f t="shared" si="77"/>
        <v>1000</v>
      </c>
      <c r="L98" s="6">
        <f t="shared" si="77"/>
        <v>1000</v>
      </c>
      <c r="M98" s="6">
        <f t="shared" si="77"/>
        <v>1000</v>
      </c>
      <c r="N98" s="6">
        <f t="shared" si="77"/>
        <v>1000</v>
      </c>
      <c r="O98" s="6">
        <f t="shared" si="77"/>
        <v>1000</v>
      </c>
      <c r="P98" s="6">
        <f t="shared" si="77"/>
        <v>1000</v>
      </c>
    </row>
    <row r="99" spans="1:16" s="2" customFormat="1" hidden="1" outlineLevel="2" x14ac:dyDescent="0.25">
      <c r="A99" s="62">
        <v>6336</v>
      </c>
      <c r="B99" s="18" t="s">
        <v>438</v>
      </c>
      <c r="C99" s="302" t="s">
        <v>631</v>
      </c>
      <c r="D99" s="96">
        <v>500</v>
      </c>
      <c r="E99" s="6">
        <f>IF(E$182=0,0,((SUMIFS(E$188:E$196,$A$188:$A$196,$A190)))*$D99)</f>
        <v>0</v>
      </c>
      <c r="F99" s="6">
        <f t="shared" ref="F99:P99" si="78">IF(F$182=0,0,((SUMIFS(F$188:F$196,$A$188:$A$196,$A190)))*$D99)</f>
        <v>500</v>
      </c>
      <c r="G99" s="6">
        <f t="shared" si="78"/>
        <v>500</v>
      </c>
      <c r="H99" s="6">
        <f t="shared" si="78"/>
        <v>500</v>
      </c>
      <c r="I99" s="6">
        <f t="shared" si="78"/>
        <v>500</v>
      </c>
      <c r="J99" s="6">
        <f t="shared" si="78"/>
        <v>500</v>
      </c>
      <c r="K99" s="6">
        <f t="shared" si="78"/>
        <v>500</v>
      </c>
      <c r="L99" s="6">
        <f t="shared" si="78"/>
        <v>500</v>
      </c>
      <c r="M99" s="6">
        <f t="shared" si="78"/>
        <v>500</v>
      </c>
      <c r="N99" s="6">
        <f t="shared" si="78"/>
        <v>500</v>
      </c>
      <c r="O99" s="6">
        <f t="shared" si="78"/>
        <v>500</v>
      </c>
      <c r="P99" s="6">
        <f t="shared" si="78"/>
        <v>500</v>
      </c>
    </row>
    <row r="100" spans="1:16" s="2" customFormat="1" hidden="1" outlineLevel="2" x14ac:dyDescent="0.25">
      <c r="A100" s="62">
        <v>6337</v>
      </c>
      <c r="B100" s="18" t="s">
        <v>439</v>
      </c>
      <c r="C100" s="302" t="s">
        <v>632</v>
      </c>
      <c r="D100" s="85">
        <v>50</v>
      </c>
      <c r="E100" s="32">
        <f>IF(E$182=0,0,((SUMIFS(E$188:E$196,$A$188:$A$196,$A191)))*$D100)</f>
        <v>50</v>
      </c>
      <c r="F100" s="32">
        <f t="shared" ref="F100:P100" si="79">IF(F$182=0,0,((SUMIFS(F$188:F$196,$A$188:$A$196,$A191)))*$D100)</f>
        <v>50</v>
      </c>
      <c r="G100" s="32">
        <f t="shared" si="79"/>
        <v>50</v>
      </c>
      <c r="H100" s="32">
        <f t="shared" si="79"/>
        <v>50</v>
      </c>
      <c r="I100" s="32">
        <f t="shared" si="79"/>
        <v>50</v>
      </c>
      <c r="J100" s="32">
        <f t="shared" si="79"/>
        <v>50</v>
      </c>
      <c r="K100" s="32">
        <f t="shared" si="79"/>
        <v>50</v>
      </c>
      <c r="L100" s="32">
        <f t="shared" si="79"/>
        <v>50</v>
      </c>
      <c r="M100" s="32">
        <f t="shared" si="79"/>
        <v>50</v>
      </c>
      <c r="N100" s="32">
        <f t="shared" si="79"/>
        <v>50</v>
      </c>
      <c r="O100" s="32">
        <f t="shared" si="79"/>
        <v>50</v>
      </c>
      <c r="P100" s="32">
        <f t="shared" si="79"/>
        <v>50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0">
        <f>SUM(E97:E100)</f>
        <v>1050</v>
      </c>
      <c r="F101" s="10">
        <f t="shared" ref="F101:P101" si="80">SUM(F97:F100)</f>
        <v>1550</v>
      </c>
      <c r="G101" s="10">
        <f t="shared" si="80"/>
        <v>1550</v>
      </c>
      <c r="H101" s="10">
        <f t="shared" si="80"/>
        <v>1550</v>
      </c>
      <c r="I101" s="10">
        <f t="shared" si="80"/>
        <v>1550</v>
      </c>
      <c r="J101" s="10">
        <f t="shared" si="80"/>
        <v>1550</v>
      </c>
      <c r="K101" s="10">
        <f t="shared" si="80"/>
        <v>1550</v>
      </c>
      <c r="L101" s="10">
        <f t="shared" si="80"/>
        <v>1550</v>
      </c>
      <c r="M101" s="10">
        <f t="shared" si="80"/>
        <v>1925</v>
      </c>
      <c r="N101" s="10">
        <f t="shared" si="80"/>
        <v>1925</v>
      </c>
      <c r="O101" s="10">
        <f t="shared" si="80"/>
        <v>1925</v>
      </c>
      <c r="P101" s="10">
        <f t="shared" si="80"/>
        <v>1925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07">
        <f t="shared" ref="E102:P107" si="81">IF(E$182=0,0,$D102)</f>
        <v>0</v>
      </c>
      <c r="F102" s="107">
        <f t="shared" si="81"/>
        <v>0</v>
      </c>
      <c r="G102" s="107">
        <f t="shared" si="81"/>
        <v>0</v>
      </c>
      <c r="H102" s="107">
        <f t="shared" si="81"/>
        <v>0</v>
      </c>
      <c r="I102" s="107">
        <f t="shared" si="81"/>
        <v>0</v>
      </c>
      <c r="J102" s="107">
        <f t="shared" si="81"/>
        <v>0</v>
      </c>
      <c r="K102" s="107">
        <f t="shared" si="81"/>
        <v>0</v>
      </c>
      <c r="L102" s="107">
        <f t="shared" si="81"/>
        <v>0</v>
      </c>
      <c r="M102" s="107">
        <f t="shared" si="81"/>
        <v>0</v>
      </c>
      <c r="N102" s="107">
        <f t="shared" si="81"/>
        <v>0</v>
      </c>
      <c r="O102" s="107">
        <f t="shared" si="81"/>
        <v>0</v>
      </c>
      <c r="P102" s="107">
        <f t="shared" si="81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200</v>
      </c>
      <c r="E103" s="107">
        <f t="shared" si="81"/>
        <v>200</v>
      </c>
      <c r="F103" s="107">
        <f t="shared" si="81"/>
        <v>200</v>
      </c>
      <c r="G103" s="107">
        <f t="shared" si="81"/>
        <v>200</v>
      </c>
      <c r="H103" s="107">
        <f t="shared" si="81"/>
        <v>200</v>
      </c>
      <c r="I103" s="107">
        <f t="shared" si="81"/>
        <v>200</v>
      </c>
      <c r="J103" s="107">
        <f t="shared" si="81"/>
        <v>200</v>
      </c>
      <c r="K103" s="107">
        <f t="shared" si="81"/>
        <v>200</v>
      </c>
      <c r="L103" s="107">
        <f t="shared" si="81"/>
        <v>200</v>
      </c>
      <c r="M103" s="107">
        <f t="shared" si="81"/>
        <v>200</v>
      </c>
      <c r="N103" s="107">
        <f t="shared" si="81"/>
        <v>200</v>
      </c>
      <c r="O103" s="107">
        <f t="shared" si="81"/>
        <v>200</v>
      </c>
      <c r="P103" s="107">
        <f t="shared" si="81"/>
        <v>200</v>
      </c>
    </row>
    <row r="104" spans="1:16" s="2" customFormat="1" x14ac:dyDescent="0.25">
      <c r="A104" s="2">
        <v>340</v>
      </c>
      <c r="B104" s="18" t="s">
        <v>489</v>
      </c>
      <c r="C104" s="297" t="s">
        <v>604</v>
      </c>
      <c r="D104" s="96">
        <v>0</v>
      </c>
      <c r="E104" s="107">
        <f t="shared" si="81"/>
        <v>0</v>
      </c>
      <c r="F104" s="107">
        <f t="shared" si="81"/>
        <v>0</v>
      </c>
      <c r="G104" s="107">
        <f t="shared" si="81"/>
        <v>0</v>
      </c>
      <c r="H104" s="107">
        <f t="shared" si="81"/>
        <v>0</v>
      </c>
      <c r="I104" s="107">
        <f t="shared" si="81"/>
        <v>0</v>
      </c>
      <c r="J104" s="107">
        <f t="shared" si="81"/>
        <v>0</v>
      </c>
      <c r="K104" s="107">
        <f t="shared" si="81"/>
        <v>0</v>
      </c>
      <c r="L104" s="107">
        <f t="shared" si="81"/>
        <v>0</v>
      </c>
      <c r="M104" s="107">
        <f t="shared" si="81"/>
        <v>0</v>
      </c>
      <c r="N104" s="107">
        <f t="shared" si="81"/>
        <v>0</v>
      </c>
      <c r="O104" s="107">
        <f t="shared" si="81"/>
        <v>0</v>
      </c>
      <c r="P104" s="107">
        <f t="shared" si="81"/>
        <v>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0</v>
      </c>
      <c r="E105" s="107">
        <f t="shared" si="81"/>
        <v>0</v>
      </c>
      <c r="F105" s="107">
        <f t="shared" si="81"/>
        <v>0</v>
      </c>
      <c r="G105" s="107">
        <f t="shared" si="81"/>
        <v>0</v>
      </c>
      <c r="H105" s="107">
        <f t="shared" si="81"/>
        <v>0</v>
      </c>
      <c r="I105" s="107">
        <f t="shared" si="81"/>
        <v>0</v>
      </c>
      <c r="J105" s="107">
        <f t="shared" si="81"/>
        <v>0</v>
      </c>
      <c r="K105" s="107">
        <f t="shared" si="81"/>
        <v>0</v>
      </c>
      <c r="L105" s="107">
        <f t="shared" si="81"/>
        <v>0</v>
      </c>
      <c r="M105" s="107">
        <f t="shared" si="81"/>
        <v>0</v>
      </c>
      <c r="N105" s="107">
        <f t="shared" si="81"/>
        <v>0</v>
      </c>
      <c r="O105" s="107">
        <f t="shared" si="81"/>
        <v>0</v>
      </c>
      <c r="P105" s="107">
        <f t="shared" si="81"/>
        <v>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604</v>
      </c>
      <c r="D106" s="96">
        <v>0</v>
      </c>
      <c r="E106" s="107">
        <f t="shared" si="81"/>
        <v>0</v>
      </c>
      <c r="F106" s="107">
        <f t="shared" si="81"/>
        <v>0</v>
      </c>
      <c r="G106" s="107">
        <f t="shared" si="81"/>
        <v>0</v>
      </c>
      <c r="H106" s="107">
        <f t="shared" si="81"/>
        <v>0</v>
      </c>
      <c r="I106" s="107">
        <f t="shared" si="81"/>
        <v>0</v>
      </c>
      <c r="J106" s="107">
        <f t="shared" si="81"/>
        <v>0</v>
      </c>
      <c r="K106" s="107">
        <f t="shared" si="81"/>
        <v>0</v>
      </c>
      <c r="L106" s="107">
        <f t="shared" si="81"/>
        <v>0</v>
      </c>
      <c r="M106" s="107">
        <f t="shared" si="81"/>
        <v>0</v>
      </c>
      <c r="N106" s="107">
        <f t="shared" si="81"/>
        <v>0</v>
      </c>
      <c r="O106" s="107">
        <f t="shared" si="81"/>
        <v>0</v>
      </c>
      <c r="P106" s="107">
        <f t="shared" si="81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32">
        <f t="shared" si="81"/>
        <v>0</v>
      </c>
      <c r="F107" s="32">
        <f t="shared" si="81"/>
        <v>0</v>
      </c>
      <c r="G107" s="32">
        <f t="shared" si="81"/>
        <v>0</v>
      </c>
      <c r="H107" s="32">
        <f t="shared" si="81"/>
        <v>0</v>
      </c>
      <c r="I107" s="32">
        <f t="shared" si="81"/>
        <v>0</v>
      </c>
      <c r="J107" s="32">
        <f t="shared" si="81"/>
        <v>0</v>
      </c>
      <c r="K107" s="32">
        <f t="shared" si="81"/>
        <v>0</v>
      </c>
      <c r="L107" s="32">
        <f t="shared" si="81"/>
        <v>0</v>
      </c>
      <c r="M107" s="32">
        <f t="shared" si="81"/>
        <v>0</v>
      </c>
      <c r="N107" s="32">
        <f t="shared" si="81"/>
        <v>0</v>
      </c>
      <c r="O107" s="32">
        <f t="shared" si="81"/>
        <v>0</v>
      </c>
      <c r="P107" s="32">
        <f t="shared" si="81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0">
        <f>SUM(E106:E107)</f>
        <v>0</v>
      </c>
      <c r="F108" s="10">
        <f t="shared" ref="F108:P108" si="82">SUM(F106:F107)</f>
        <v>0</v>
      </c>
      <c r="G108" s="10">
        <f t="shared" si="82"/>
        <v>0</v>
      </c>
      <c r="H108" s="10">
        <f t="shared" si="82"/>
        <v>0</v>
      </c>
      <c r="I108" s="10">
        <f t="shared" si="82"/>
        <v>0</v>
      </c>
      <c r="J108" s="10">
        <f t="shared" si="82"/>
        <v>0</v>
      </c>
      <c r="K108" s="10">
        <f t="shared" si="82"/>
        <v>0</v>
      </c>
      <c r="L108" s="10">
        <f t="shared" si="82"/>
        <v>0</v>
      </c>
      <c r="M108" s="10">
        <f t="shared" si="82"/>
        <v>0</v>
      </c>
      <c r="N108" s="10">
        <f t="shared" si="82"/>
        <v>0</v>
      </c>
      <c r="O108" s="10">
        <f t="shared" si="82"/>
        <v>0</v>
      </c>
      <c r="P108" s="10">
        <f t="shared" si="82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656</v>
      </c>
      <c r="D109" s="164">
        <v>25</v>
      </c>
      <c r="E109" s="107">
        <f>IF(E$182=0,0,($D109*100))</f>
        <v>2500</v>
      </c>
      <c r="F109" s="107">
        <f t="shared" ref="F109:P109" si="83">IF(F$182=0,0,($D109*100))</f>
        <v>2500</v>
      </c>
      <c r="G109" s="107">
        <f t="shared" si="83"/>
        <v>2500</v>
      </c>
      <c r="H109" s="107">
        <f t="shared" si="83"/>
        <v>2500</v>
      </c>
      <c r="I109" s="107">
        <f t="shared" si="83"/>
        <v>2500</v>
      </c>
      <c r="J109" s="107">
        <f t="shared" si="83"/>
        <v>2500</v>
      </c>
      <c r="K109" s="107">
        <f t="shared" si="83"/>
        <v>2500</v>
      </c>
      <c r="L109" s="107">
        <f t="shared" si="83"/>
        <v>2500</v>
      </c>
      <c r="M109" s="107">
        <f t="shared" si="83"/>
        <v>2500</v>
      </c>
      <c r="N109" s="107">
        <f t="shared" si="83"/>
        <v>2500</v>
      </c>
      <c r="O109" s="107">
        <f t="shared" si="83"/>
        <v>2500</v>
      </c>
      <c r="P109" s="107">
        <f t="shared" si="83"/>
        <v>2500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701</v>
      </c>
      <c r="D111" s="199">
        <v>40</v>
      </c>
      <c r="E111" s="10">
        <f>ROUND((($D111*(1+E$11))*E$182*0.75),0)</f>
        <v>2550</v>
      </c>
      <c r="F111" s="10">
        <f t="shared" ref="F111:P111" si="85">ROUND((($D111*(1+F$11))*F$182*0.75),0)</f>
        <v>3366</v>
      </c>
      <c r="G111" s="10">
        <f t="shared" si="85"/>
        <v>3744</v>
      </c>
      <c r="H111" s="10">
        <f t="shared" si="85"/>
        <v>4007</v>
      </c>
      <c r="I111" s="10">
        <f t="shared" si="85"/>
        <v>4277</v>
      </c>
      <c r="J111" s="10">
        <f t="shared" si="85"/>
        <v>4587</v>
      </c>
      <c r="K111" s="10">
        <f t="shared" si="85"/>
        <v>4906</v>
      </c>
      <c r="L111" s="10">
        <f t="shared" si="85"/>
        <v>5233</v>
      </c>
      <c r="M111" s="10">
        <f t="shared" si="85"/>
        <v>5603</v>
      </c>
      <c r="N111" s="10">
        <f t="shared" si="85"/>
        <v>5983</v>
      </c>
      <c r="O111" s="10">
        <f t="shared" si="85"/>
        <v>6372</v>
      </c>
      <c r="P111" s="10">
        <f t="shared" si="85"/>
        <v>6808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595</v>
      </c>
      <c r="F112" s="10">
        <f t="shared" ref="F112:P113" si="86">ROUND((($D112*(1+F$11))*F$182),0)</f>
        <v>785</v>
      </c>
      <c r="G112" s="10">
        <f t="shared" si="86"/>
        <v>874</v>
      </c>
      <c r="H112" s="10">
        <f t="shared" si="86"/>
        <v>935</v>
      </c>
      <c r="I112" s="10">
        <f t="shared" si="86"/>
        <v>998</v>
      </c>
      <c r="J112" s="10">
        <f t="shared" si="86"/>
        <v>1070</v>
      </c>
      <c r="K112" s="10">
        <f t="shared" si="86"/>
        <v>1145</v>
      </c>
      <c r="L112" s="10">
        <f t="shared" si="86"/>
        <v>1221</v>
      </c>
      <c r="M112" s="10">
        <f t="shared" si="86"/>
        <v>1307</v>
      </c>
      <c r="N112" s="10">
        <f t="shared" si="86"/>
        <v>1396</v>
      </c>
      <c r="O112" s="10">
        <f t="shared" si="86"/>
        <v>1487</v>
      </c>
      <c r="P112" s="10">
        <f t="shared" si="86"/>
        <v>1588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850</v>
      </c>
      <c r="F113" s="11">
        <f t="shared" si="86"/>
        <v>1122</v>
      </c>
      <c r="G113" s="11">
        <f t="shared" si="86"/>
        <v>1248</v>
      </c>
      <c r="H113" s="11">
        <f t="shared" si="86"/>
        <v>1336</v>
      </c>
      <c r="I113" s="11">
        <f t="shared" si="86"/>
        <v>1426</v>
      </c>
      <c r="J113" s="11">
        <f t="shared" si="86"/>
        <v>1529</v>
      </c>
      <c r="K113" s="11">
        <f t="shared" si="86"/>
        <v>1635</v>
      </c>
      <c r="L113" s="11">
        <f t="shared" si="86"/>
        <v>1744</v>
      </c>
      <c r="M113" s="11">
        <f t="shared" si="86"/>
        <v>1868</v>
      </c>
      <c r="N113" s="11">
        <f t="shared" si="86"/>
        <v>1994</v>
      </c>
      <c r="O113" s="11">
        <f t="shared" si="86"/>
        <v>2124</v>
      </c>
      <c r="P113" s="11">
        <f t="shared" si="86"/>
        <v>2269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0">
        <f>SUM(E110:E113)</f>
        <v>3995</v>
      </c>
      <c r="F114" s="10">
        <f t="shared" ref="F114:P114" si="87">SUM(F110:F113)</f>
        <v>5273</v>
      </c>
      <c r="G114" s="10">
        <f t="shared" si="87"/>
        <v>5866</v>
      </c>
      <c r="H114" s="10">
        <f t="shared" si="87"/>
        <v>6278</v>
      </c>
      <c r="I114" s="10">
        <f t="shared" si="87"/>
        <v>6701</v>
      </c>
      <c r="J114" s="10">
        <f t="shared" si="87"/>
        <v>7186</v>
      </c>
      <c r="K114" s="10">
        <f t="shared" si="87"/>
        <v>7686</v>
      </c>
      <c r="L114" s="10">
        <f t="shared" si="87"/>
        <v>8198</v>
      </c>
      <c r="M114" s="10">
        <f t="shared" si="87"/>
        <v>8778</v>
      </c>
      <c r="N114" s="10">
        <f t="shared" si="87"/>
        <v>9373</v>
      </c>
      <c r="O114" s="10">
        <f t="shared" si="87"/>
        <v>9983</v>
      </c>
      <c r="P114" s="10">
        <f t="shared" si="87"/>
        <v>10665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>
        <v>0</v>
      </c>
      <c r="E115" s="10">
        <f>IF(E$182=0,0,($D115*12)*(1+E$11))</f>
        <v>0</v>
      </c>
      <c r="F115" s="10">
        <f t="shared" ref="F115:P115" si="88">IF(F$182=0,0,($D115*12)*(1+F$11))</f>
        <v>0</v>
      </c>
      <c r="G115" s="10">
        <f t="shared" si="88"/>
        <v>0</v>
      </c>
      <c r="H115" s="10">
        <f t="shared" si="88"/>
        <v>0</v>
      </c>
      <c r="I115" s="10">
        <f t="shared" si="88"/>
        <v>0</v>
      </c>
      <c r="J115" s="10">
        <f t="shared" si="88"/>
        <v>0</v>
      </c>
      <c r="K115" s="10">
        <f t="shared" si="88"/>
        <v>0</v>
      </c>
      <c r="L115" s="10">
        <f t="shared" si="88"/>
        <v>0</v>
      </c>
      <c r="M115" s="10">
        <f t="shared" si="88"/>
        <v>0</v>
      </c>
      <c r="N115" s="10">
        <f t="shared" si="88"/>
        <v>0</v>
      </c>
      <c r="O115" s="10">
        <f t="shared" si="88"/>
        <v>0</v>
      </c>
      <c r="P115" s="10">
        <f t="shared" si="88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0</v>
      </c>
      <c r="E116" s="10">
        <f>IF(E$182=0,0,$D116*12)</f>
        <v>0</v>
      </c>
      <c r="F116" s="10">
        <f>IF(F$182=0,0,$D116*12)</f>
        <v>0</v>
      </c>
      <c r="G116" s="10">
        <f>IF(G$182=0,0,$D116*12)</f>
        <v>0</v>
      </c>
      <c r="H116" s="10">
        <f t="shared" ref="H116:P117" si="89">IF(H$182=0,0,$D116*12)</f>
        <v>0</v>
      </c>
      <c r="I116" s="10">
        <f t="shared" si="89"/>
        <v>0</v>
      </c>
      <c r="J116" s="10">
        <f t="shared" si="89"/>
        <v>0</v>
      </c>
      <c r="K116" s="10">
        <f t="shared" si="89"/>
        <v>0</v>
      </c>
      <c r="L116" s="10">
        <f t="shared" si="89"/>
        <v>0</v>
      </c>
      <c r="M116" s="10">
        <f t="shared" si="89"/>
        <v>0</v>
      </c>
      <c r="N116" s="10">
        <f t="shared" si="89"/>
        <v>0</v>
      </c>
      <c r="O116" s="10">
        <f t="shared" si="89"/>
        <v>0</v>
      </c>
      <c r="P116" s="10">
        <f t="shared" si="89"/>
        <v>0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0</v>
      </c>
      <c r="E117" s="11">
        <f>IF(E$182=0,0,$D117*12)</f>
        <v>0</v>
      </c>
      <c r="F117" s="11">
        <f t="shared" ref="F117:G117" si="90">IF(F$182=0,0,$D117*12)</f>
        <v>0</v>
      </c>
      <c r="G117" s="11">
        <f t="shared" si="90"/>
        <v>0</v>
      </c>
      <c r="H117" s="11">
        <f t="shared" si="89"/>
        <v>0</v>
      </c>
      <c r="I117" s="11">
        <f t="shared" si="89"/>
        <v>0</v>
      </c>
      <c r="J117" s="11">
        <f t="shared" si="89"/>
        <v>0</v>
      </c>
      <c r="K117" s="11">
        <f t="shared" si="89"/>
        <v>0</v>
      </c>
      <c r="L117" s="11">
        <f t="shared" si="89"/>
        <v>0</v>
      </c>
      <c r="M117" s="11">
        <f t="shared" si="89"/>
        <v>0</v>
      </c>
      <c r="N117" s="11">
        <f t="shared" si="89"/>
        <v>0</v>
      </c>
      <c r="O117" s="11">
        <f t="shared" si="89"/>
        <v>0</v>
      </c>
      <c r="P117" s="11">
        <f t="shared" si="89"/>
        <v>0</v>
      </c>
    </row>
    <row r="118" spans="1:16" s="2" customFormat="1" collapsed="1" x14ac:dyDescent="0.25">
      <c r="A118" s="2">
        <v>400</v>
      </c>
      <c r="B118" s="18" t="s">
        <v>445</v>
      </c>
      <c r="E118" s="10">
        <f>SUM(E115:E117)</f>
        <v>0</v>
      </c>
      <c r="F118" s="10">
        <f t="shared" ref="F118:G118" si="91">SUM(F115:F117)</f>
        <v>0</v>
      </c>
      <c r="G118" s="10">
        <f t="shared" si="91"/>
        <v>0</v>
      </c>
      <c r="H118" s="10">
        <f t="shared" ref="H118:P118" si="92">SUM(H115:H117)</f>
        <v>0</v>
      </c>
      <c r="I118" s="10">
        <f t="shared" si="92"/>
        <v>0</v>
      </c>
      <c r="J118" s="10">
        <f t="shared" si="92"/>
        <v>0</v>
      </c>
      <c r="K118" s="10">
        <f t="shared" si="92"/>
        <v>0</v>
      </c>
      <c r="L118" s="10">
        <f t="shared" si="92"/>
        <v>0</v>
      </c>
      <c r="M118" s="10">
        <f t="shared" si="92"/>
        <v>0</v>
      </c>
      <c r="N118" s="10">
        <f t="shared" si="92"/>
        <v>0</v>
      </c>
      <c r="O118" s="10">
        <f t="shared" si="92"/>
        <v>0</v>
      </c>
      <c r="P118" s="10">
        <f t="shared" si="92"/>
        <v>0</v>
      </c>
    </row>
    <row r="119" spans="1:16" s="2" customFormat="1" x14ac:dyDescent="0.25">
      <c r="A119" s="2">
        <v>440</v>
      </c>
      <c r="B119" s="18" t="s">
        <v>464</v>
      </c>
      <c r="C119" s="2" t="s">
        <v>590</v>
      </c>
      <c r="D119" s="164"/>
      <c r="E119" s="10">
        <f>IF(E$182=0,0,E224)</f>
        <v>24000</v>
      </c>
      <c r="F119" s="10">
        <f t="shared" ref="F119:P119" si="93">IF(F$182=0,0,F224)</f>
        <v>24720</v>
      </c>
      <c r="G119" s="10">
        <f t="shared" si="93"/>
        <v>25461.600000000002</v>
      </c>
      <c r="H119" s="10">
        <f t="shared" si="93"/>
        <v>26225.448000000004</v>
      </c>
      <c r="I119" s="10">
        <f t="shared" si="93"/>
        <v>27012.211440000006</v>
      </c>
      <c r="J119" s="10">
        <f t="shared" si="93"/>
        <v>27822.577783200002</v>
      </c>
      <c r="K119" s="10">
        <f t="shared" si="93"/>
        <v>28657.255116696011</v>
      </c>
      <c r="L119" s="10">
        <f t="shared" si="93"/>
        <v>29516.972770196888</v>
      </c>
      <c r="M119" s="10">
        <f t="shared" si="93"/>
        <v>30402.481953302799</v>
      </c>
      <c r="N119" s="10">
        <f t="shared" si="93"/>
        <v>31314.556411901882</v>
      </c>
      <c r="O119" s="10">
        <f t="shared" si="93"/>
        <v>32253.993104258941</v>
      </c>
      <c r="P119" s="10">
        <f t="shared" si="93"/>
        <v>33221.612897386709</v>
      </c>
    </row>
    <row r="120" spans="1:16" s="2" customFormat="1" x14ac:dyDescent="0.25">
      <c r="A120" s="2">
        <v>440</v>
      </c>
      <c r="B120" s="18" t="s">
        <v>585</v>
      </c>
      <c r="C120" s="297" t="s">
        <v>589</v>
      </c>
      <c r="D120" s="85">
        <v>500</v>
      </c>
      <c r="E120" s="107">
        <f>IF(E$182=0,0,$D120)</f>
        <v>500</v>
      </c>
      <c r="F120" s="107">
        <f t="shared" ref="F120:P120" si="94">IF(F$182=0,0,$D120)</f>
        <v>500</v>
      </c>
      <c r="G120" s="107">
        <f t="shared" si="94"/>
        <v>500</v>
      </c>
      <c r="H120" s="107">
        <f t="shared" si="94"/>
        <v>500</v>
      </c>
      <c r="I120" s="107">
        <f t="shared" si="94"/>
        <v>500</v>
      </c>
      <c r="J120" s="107">
        <f t="shared" si="94"/>
        <v>500</v>
      </c>
      <c r="K120" s="107">
        <f t="shared" si="94"/>
        <v>500</v>
      </c>
      <c r="L120" s="107">
        <f t="shared" si="94"/>
        <v>500</v>
      </c>
      <c r="M120" s="107">
        <f t="shared" si="94"/>
        <v>500</v>
      </c>
      <c r="N120" s="107">
        <f t="shared" si="94"/>
        <v>500</v>
      </c>
      <c r="O120" s="107">
        <f t="shared" si="94"/>
        <v>500</v>
      </c>
      <c r="P120" s="107">
        <f t="shared" si="94"/>
        <v>500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735</v>
      </c>
      <c r="D121" s="85">
        <v>30</v>
      </c>
      <c r="E121" s="10">
        <f>IF(E$182=0,0,$D121*12)+1000</f>
        <v>1360</v>
      </c>
      <c r="F121" s="10">
        <f t="shared" ref="F121:P121" si="95">IF(F$182=0,0,$D121*12)</f>
        <v>360</v>
      </c>
      <c r="G121" s="10">
        <f t="shared" si="95"/>
        <v>360</v>
      </c>
      <c r="H121" s="10">
        <f t="shared" si="95"/>
        <v>360</v>
      </c>
      <c r="I121" s="10">
        <f t="shared" si="95"/>
        <v>360</v>
      </c>
      <c r="J121" s="10">
        <f t="shared" si="95"/>
        <v>360</v>
      </c>
      <c r="K121" s="10">
        <f t="shared" si="95"/>
        <v>360</v>
      </c>
      <c r="L121" s="10">
        <f t="shared" si="95"/>
        <v>360</v>
      </c>
      <c r="M121" s="10">
        <f t="shared" si="95"/>
        <v>360</v>
      </c>
      <c r="N121" s="10">
        <f t="shared" si="95"/>
        <v>360</v>
      </c>
      <c r="O121" s="10">
        <f t="shared" si="95"/>
        <v>360</v>
      </c>
      <c r="P121" s="10">
        <f t="shared" si="95"/>
        <v>360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07">
        <f>IF(E$182=0,0,($D122*(1+E$11)*12))</f>
        <v>600</v>
      </c>
      <c r="F122" s="107">
        <f t="shared" ref="F122:P122" si="96">IF(F$182=0,0,($D122*(1+F$11)*12))</f>
        <v>612</v>
      </c>
      <c r="G122" s="107">
        <f t="shared" si="96"/>
        <v>624</v>
      </c>
      <c r="H122" s="107">
        <f t="shared" si="96"/>
        <v>636</v>
      </c>
      <c r="I122" s="107">
        <f t="shared" si="96"/>
        <v>648</v>
      </c>
      <c r="J122" s="107">
        <f t="shared" si="96"/>
        <v>660.00000000000011</v>
      </c>
      <c r="K122" s="107">
        <f t="shared" si="96"/>
        <v>672.00000000000011</v>
      </c>
      <c r="L122" s="107">
        <f t="shared" si="96"/>
        <v>684.00000000000011</v>
      </c>
      <c r="M122" s="107">
        <f t="shared" si="96"/>
        <v>695.99999999999989</v>
      </c>
      <c r="N122" s="107">
        <f t="shared" si="96"/>
        <v>708</v>
      </c>
      <c r="O122" s="107">
        <f t="shared" si="96"/>
        <v>720</v>
      </c>
      <c r="P122" s="107">
        <f t="shared" si="96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07">
        <f>IF(E$182=0,0,($D123*12))</f>
        <v>0</v>
      </c>
      <c r="F123" s="107">
        <f t="shared" ref="F123:P123" si="97">IF(F$182=0,0,($D123*12))</f>
        <v>0</v>
      </c>
      <c r="G123" s="107">
        <f t="shared" si="97"/>
        <v>0</v>
      </c>
      <c r="H123" s="107">
        <f t="shared" si="97"/>
        <v>0</v>
      </c>
      <c r="I123" s="107">
        <f t="shared" si="97"/>
        <v>0</v>
      </c>
      <c r="J123" s="107">
        <f t="shared" si="97"/>
        <v>0</v>
      </c>
      <c r="K123" s="107">
        <f t="shared" si="97"/>
        <v>0</v>
      </c>
      <c r="L123" s="107">
        <f t="shared" si="97"/>
        <v>0</v>
      </c>
      <c r="M123" s="107">
        <f t="shared" si="97"/>
        <v>0</v>
      </c>
      <c r="N123" s="107">
        <f t="shared" si="97"/>
        <v>0</v>
      </c>
      <c r="O123" s="107">
        <f t="shared" si="97"/>
        <v>0</v>
      </c>
      <c r="P123" s="107">
        <f t="shared" si="97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0</v>
      </c>
      <c r="E124" s="107">
        <f t="shared" ref="E124:P125" si="98">IF(E$182=0,0,($D124*(1+E$11)*12))</f>
        <v>0</v>
      </c>
      <c r="F124" s="107">
        <f t="shared" si="98"/>
        <v>0</v>
      </c>
      <c r="G124" s="107">
        <f t="shared" si="98"/>
        <v>0</v>
      </c>
      <c r="H124" s="107">
        <f t="shared" si="98"/>
        <v>0</v>
      </c>
      <c r="I124" s="107">
        <f t="shared" si="98"/>
        <v>0</v>
      </c>
      <c r="J124" s="107">
        <f t="shared" si="98"/>
        <v>0</v>
      </c>
      <c r="K124" s="107">
        <f t="shared" si="98"/>
        <v>0</v>
      </c>
      <c r="L124" s="107">
        <f t="shared" si="98"/>
        <v>0</v>
      </c>
      <c r="M124" s="107">
        <f t="shared" si="98"/>
        <v>0</v>
      </c>
      <c r="N124" s="107">
        <f t="shared" si="98"/>
        <v>0</v>
      </c>
      <c r="O124" s="107">
        <f t="shared" si="98"/>
        <v>0</v>
      </c>
      <c r="P124" s="107">
        <f t="shared" si="98"/>
        <v>0</v>
      </c>
    </row>
    <row r="125" spans="1:16" s="2" customFormat="1" hidden="1" outlineLevel="1" x14ac:dyDescent="0.25">
      <c r="A125" s="2">
        <v>6535</v>
      </c>
      <c r="B125" s="74" t="s">
        <v>456</v>
      </c>
      <c r="C125" s="301" t="s">
        <v>605</v>
      </c>
      <c r="D125" s="85">
        <v>0</v>
      </c>
      <c r="E125" s="32">
        <f t="shared" si="98"/>
        <v>0</v>
      </c>
      <c r="F125" s="32">
        <f t="shared" si="98"/>
        <v>0</v>
      </c>
      <c r="G125" s="32">
        <f t="shared" si="98"/>
        <v>0</v>
      </c>
      <c r="H125" s="32">
        <f t="shared" si="98"/>
        <v>0</v>
      </c>
      <c r="I125" s="32">
        <f t="shared" si="98"/>
        <v>0</v>
      </c>
      <c r="J125" s="32">
        <f t="shared" si="98"/>
        <v>0</v>
      </c>
      <c r="K125" s="32">
        <f t="shared" si="98"/>
        <v>0</v>
      </c>
      <c r="L125" s="32">
        <f t="shared" si="98"/>
        <v>0</v>
      </c>
      <c r="M125" s="32">
        <f t="shared" si="98"/>
        <v>0</v>
      </c>
      <c r="N125" s="32">
        <f t="shared" si="98"/>
        <v>0</v>
      </c>
      <c r="O125" s="32">
        <f t="shared" si="98"/>
        <v>0</v>
      </c>
      <c r="P125" s="32">
        <f t="shared" si="98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0">
        <f>SUM(E121:E125)</f>
        <v>1960</v>
      </c>
      <c r="F126" s="10">
        <f t="shared" ref="F126:P126" si="99">SUM(F121:F125)</f>
        <v>972</v>
      </c>
      <c r="G126" s="10">
        <f t="shared" si="99"/>
        <v>984</v>
      </c>
      <c r="H126" s="10">
        <f t="shared" si="99"/>
        <v>996</v>
      </c>
      <c r="I126" s="10">
        <f t="shared" si="99"/>
        <v>1008</v>
      </c>
      <c r="J126" s="10">
        <f t="shared" si="99"/>
        <v>1020.0000000000001</v>
      </c>
      <c r="K126" s="10">
        <f t="shared" si="99"/>
        <v>1032</v>
      </c>
      <c r="L126" s="10">
        <f t="shared" si="99"/>
        <v>1044</v>
      </c>
      <c r="M126" s="10">
        <f t="shared" si="99"/>
        <v>1056</v>
      </c>
      <c r="N126" s="10">
        <f t="shared" si="99"/>
        <v>1068</v>
      </c>
      <c r="O126" s="10">
        <f t="shared" si="99"/>
        <v>1080</v>
      </c>
      <c r="P126" s="10">
        <f t="shared" si="99"/>
        <v>1092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0</v>
      </c>
      <c r="E127" s="10">
        <f t="shared" ref="E127:E132" si="100">ROUND(($D127*(1+E$11)*E$182),0)</f>
        <v>0</v>
      </c>
      <c r="F127" s="10">
        <f t="shared" ref="F127:P127" si="101">ROUND(($D127*(1+F$11)*F$182),0)</f>
        <v>0</v>
      </c>
      <c r="G127" s="10">
        <f t="shared" si="101"/>
        <v>0</v>
      </c>
      <c r="H127" s="10">
        <f t="shared" si="101"/>
        <v>0</v>
      </c>
      <c r="I127" s="10">
        <f t="shared" si="101"/>
        <v>0</v>
      </c>
      <c r="J127" s="10">
        <f t="shared" si="101"/>
        <v>0</v>
      </c>
      <c r="K127" s="10">
        <f t="shared" si="101"/>
        <v>0</v>
      </c>
      <c r="L127" s="10">
        <f t="shared" si="101"/>
        <v>0</v>
      </c>
      <c r="M127" s="10">
        <f t="shared" si="101"/>
        <v>0</v>
      </c>
      <c r="N127" s="10">
        <f t="shared" si="101"/>
        <v>0</v>
      </c>
      <c r="O127" s="10">
        <f t="shared" si="101"/>
        <v>0</v>
      </c>
      <c r="P127" s="10">
        <f t="shared" si="101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0">
        <f t="shared" si="100"/>
        <v>0</v>
      </c>
      <c r="F128" s="10">
        <f t="shared" ref="F128:P132" si="102">ROUND(($D128*(1+F$11)*F$182),0)</f>
        <v>0</v>
      </c>
      <c r="G128" s="10">
        <f t="shared" si="102"/>
        <v>0</v>
      </c>
      <c r="H128" s="10">
        <f t="shared" si="102"/>
        <v>0</v>
      </c>
      <c r="I128" s="10">
        <f t="shared" si="102"/>
        <v>0</v>
      </c>
      <c r="J128" s="10">
        <f t="shared" si="102"/>
        <v>0</v>
      </c>
      <c r="K128" s="10">
        <f t="shared" si="102"/>
        <v>0</v>
      </c>
      <c r="L128" s="10">
        <f t="shared" si="102"/>
        <v>0</v>
      </c>
      <c r="M128" s="10">
        <f t="shared" si="102"/>
        <v>0</v>
      </c>
      <c r="N128" s="10">
        <f t="shared" si="102"/>
        <v>0</v>
      </c>
      <c r="O128" s="10">
        <f t="shared" si="102"/>
        <v>0</v>
      </c>
      <c r="P128" s="10">
        <f t="shared" si="102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0">
        <f t="shared" si="100"/>
        <v>0</v>
      </c>
      <c r="F129" s="10">
        <f t="shared" si="102"/>
        <v>0</v>
      </c>
      <c r="G129" s="10">
        <f t="shared" si="102"/>
        <v>0</v>
      </c>
      <c r="H129" s="10">
        <f t="shared" si="102"/>
        <v>0</v>
      </c>
      <c r="I129" s="10">
        <f t="shared" si="102"/>
        <v>0</v>
      </c>
      <c r="J129" s="10">
        <f t="shared" si="102"/>
        <v>0</v>
      </c>
      <c r="K129" s="10">
        <f t="shared" si="102"/>
        <v>0</v>
      </c>
      <c r="L129" s="10">
        <f t="shared" si="102"/>
        <v>0</v>
      </c>
      <c r="M129" s="10">
        <f t="shared" si="102"/>
        <v>0</v>
      </c>
      <c r="N129" s="10">
        <f t="shared" si="102"/>
        <v>0</v>
      </c>
      <c r="O129" s="10">
        <f t="shared" si="102"/>
        <v>0</v>
      </c>
      <c r="P129" s="10">
        <f t="shared" si="102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0">
        <f t="shared" si="100"/>
        <v>0</v>
      </c>
      <c r="F130" s="10">
        <f t="shared" si="102"/>
        <v>0</v>
      </c>
      <c r="G130" s="10">
        <f t="shared" si="102"/>
        <v>0</v>
      </c>
      <c r="H130" s="10">
        <f t="shared" si="102"/>
        <v>0</v>
      </c>
      <c r="I130" s="10">
        <f t="shared" si="102"/>
        <v>0</v>
      </c>
      <c r="J130" s="10">
        <f t="shared" si="102"/>
        <v>0</v>
      </c>
      <c r="K130" s="10">
        <f t="shared" si="102"/>
        <v>0</v>
      </c>
      <c r="L130" s="10">
        <f t="shared" si="102"/>
        <v>0</v>
      </c>
      <c r="M130" s="10">
        <f t="shared" si="102"/>
        <v>0</v>
      </c>
      <c r="N130" s="10">
        <f t="shared" si="102"/>
        <v>0</v>
      </c>
      <c r="O130" s="10">
        <f t="shared" si="102"/>
        <v>0</v>
      </c>
      <c r="P130" s="10">
        <f t="shared" si="102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0">
        <f t="shared" si="100"/>
        <v>0</v>
      </c>
      <c r="F131" s="10">
        <f t="shared" si="102"/>
        <v>0</v>
      </c>
      <c r="G131" s="10">
        <f t="shared" si="102"/>
        <v>0</v>
      </c>
      <c r="H131" s="10">
        <f t="shared" si="102"/>
        <v>0</v>
      </c>
      <c r="I131" s="10">
        <f t="shared" si="102"/>
        <v>0</v>
      </c>
      <c r="J131" s="10">
        <f t="shared" si="102"/>
        <v>0</v>
      </c>
      <c r="K131" s="10">
        <f t="shared" si="102"/>
        <v>0</v>
      </c>
      <c r="L131" s="10">
        <f t="shared" si="102"/>
        <v>0</v>
      </c>
      <c r="M131" s="10">
        <f t="shared" si="102"/>
        <v>0</v>
      </c>
      <c r="N131" s="10">
        <f t="shared" si="102"/>
        <v>0</v>
      </c>
      <c r="O131" s="10">
        <f t="shared" si="102"/>
        <v>0</v>
      </c>
      <c r="P131" s="10">
        <f t="shared" si="102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100"/>
        <v>0</v>
      </c>
      <c r="F132" s="11">
        <f t="shared" si="102"/>
        <v>0</v>
      </c>
      <c r="G132" s="11">
        <f t="shared" si="102"/>
        <v>0</v>
      </c>
      <c r="H132" s="11">
        <f t="shared" si="102"/>
        <v>0</v>
      </c>
      <c r="I132" s="11">
        <f t="shared" si="102"/>
        <v>0</v>
      </c>
      <c r="J132" s="11">
        <f t="shared" si="102"/>
        <v>0</v>
      </c>
      <c r="K132" s="11">
        <f t="shared" si="102"/>
        <v>0</v>
      </c>
      <c r="L132" s="11">
        <f t="shared" si="102"/>
        <v>0</v>
      </c>
      <c r="M132" s="11">
        <f t="shared" si="102"/>
        <v>0</v>
      </c>
      <c r="N132" s="11">
        <f t="shared" si="102"/>
        <v>0</v>
      </c>
      <c r="O132" s="11">
        <f t="shared" si="102"/>
        <v>0</v>
      </c>
      <c r="P132" s="11">
        <f t="shared" si="102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0">
        <f>SUM(E127:E132)</f>
        <v>0</v>
      </c>
      <c r="F133" s="10">
        <f t="shared" ref="F133:P133" si="103">SUM(F127:F132)</f>
        <v>0</v>
      </c>
      <c r="G133" s="10">
        <f t="shared" si="103"/>
        <v>0</v>
      </c>
      <c r="H133" s="10">
        <f t="shared" si="103"/>
        <v>0</v>
      </c>
      <c r="I133" s="10">
        <f t="shared" si="103"/>
        <v>0</v>
      </c>
      <c r="J133" s="10">
        <f t="shared" si="103"/>
        <v>0</v>
      </c>
      <c r="K133" s="10">
        <f t="shared" si="103"/>
        <v>0</v>
      </c>
      <c r="L133" s="10">
        <f t="shared" si="103"/>
        <v>0</v>
      </c>
      <c r="M133" s="10">
        <f t="shared" si="103"/>
        <v>0</v>
      </c>
      <c r="N133" s="10">
        <f t="shared" si="103"/>
        <v>0</v>
      </c>
      <c r="O133" s="10">
        <f t="shared" si="103"/>
        <v>0</v>
      </c>
      <c r="P133" s="10">
        <f t="shared" si="103"/>
        <v>0</v>
      </c>
    </row>
    <row r="134" spans="1:16" s="2" customFormat="1" x14ac:dyDescent="0.25">
      <c r="A134" s="2">
        <v>540</v>
      </c>
      <c r="B134" s="18" t="s">
        <v>79</v>
      </c>
      <c r="C134" s="297" t="s">
        <v>734</v>
      </c>
      <c r="D134" s="164">
        <v>2400</v>
      </c>
      <c r="E134" s="107">
        <f>IF(E$182=0,0,$D134)</f>
        <v>2400</v>
      </c>
      <c r="F134" s="107">
        <f t="shared" ref="F134:P134" si="104">IF(F$182=0,0,$D134)</f>
        <v>2400</v>
      </c>
      <c r="G134" s="107">
        <f t="shared" si="104"/>
        <v>2400</v>
      </c>
      <c r="H134" s="107">
        <f t="shared" si="104"/>
        <v>2400</v>
      </c>
      <c r="I134" s="107">
        <f t="shared" si="104"/>
        <v>2400</v>
      </c>
      <c r="J134" s="107">
        <f t="shared" si="104"/>
        <v>2400</v>
      </c>
      <c r="K134" s="107">
        <f t="shared" si="104"/>
        <v>2400</v>
      </c>
      <c r="L134" s="107">
        <f t="shared" si="104"/>
        <v>2400</v>
      </c>
      <c r="M134" s="107">
        <f t="shared" si="104"/>
        <v>2400</v>
      </c>
      <c r="N134" s="107">
        <f t="shared" si="104"/>
        <v>2400</v>
      </c>
      <c r="O134" s="107">
        <f t="shared" si="104"/>
        <v>2400</v>
      </c>
      <c r="P134" s="107">
        <f t="shared" si="104"/>
        <v>2400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50</v>
      </c>
      <c r="E135" s="154">
        <f t="shared" ref="E135:P137" si="105">IF(E$182=0,0,ROUND(($D135*(1+E$11))*E$182,0))</f>
        <v>4250</v>
      </c>
      <c r="F135" s="154">
        <f t="shared" si="105"/>
        <v>5610</v>
      </c>
      <c r="G135" s="154">
        <f t="shared" si="105"/>
        <v>6240</v>
      </c>
      <c r="H135" s="154">
        <f t="shared" si="105"/>
        <v>6678</v>
      </c>
      <c r="I135" s="154">
        <f t="shared" si="105"/>
        <v>7128</v>
      </c>
      <c r="J135" s="154">
        <f t="shared" si="105"/>
        <v>7645</v>
      </c>
      <c r="K135" s="154">
        <f t="shared" si="105"/>
        <v>8176</v>
      </c>
      <c r="L135" s="154">
        <f t="shared" si="105"/>
        <v>8721</v>
      </c>
      <c r="M135" s="154">
        <f t="shared" si="105"/>
        <v>9338</v>
      </c>
      <c r="N135" s="154">
        <f t="shared" si="105"/>
        <v>9971</v>
      </c>
      <c r="O135" s="154">
        <f t="shared" si="105"/>
        <v>10620</v>
      </c>
      <c r="P135" s="154">
        <f t="shared" si="105"/>
        <v>11346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746</v>
      </c>
      <c r="D136" s="85">
        <v>875</v>
      </c>
      <c r="E136" s="154">
        <f>IF(E$182=0,0,ROUND(($D136*(1+E$11))*E$182,0))</f>
        <v>74375</v>
      </c>
      <c r="F136" s="154">
        <f t="shared" si="105"/>
        <v>98175</v>
      </c>
      <c r="G136" s="154">
        <f t="shared" si="105"/>
        <v>109200</v>
      </c>
      <c r="H136" s="154">
        <f t="shared" si="105"/>
        <v>116865</v>
      </c>
      <c r="I136" s="154">
        <f t="shared" si="105"/>
        <v>124740</v>
      </c>
      <c r="J136" s="154">
        <f t="shared" si="105"/>
        <v>133788</v>
      </c>
      <c r="K136" s="154">
        <f t="shared" si="105"/>
        <v>143080</v>
      </c>
      <c r="L136" s="154">
        <f t="shared" si="105"/>
        <v>152618</v>
      </c>
      <c r="M136" s="154">
        <f t="shared" si="105"/>
        <v>163415</v>
      </c>
      <c r="N136" s="154">
        <f t="shared" si="105"/>
        <v>174493</v>
      </c>
      <c r="O136" s="154">
        <f t="shared" si="105"/>
        <v>185850</v>
      </c>
      <c r="P136" s="154">
        <f t="shared" si="105"/>
        <v>198555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747</v>
      </c>
      <c r="D137" s="85">
        <v>1175</v>
      </c>
      <c r="E137" s="11">
        <f>IF(E$182=0,0,ROUND(($D137*(1+E$11))*E$182,0))</f>
        <v>99875</v>
      </c>
      <c r="F137" s="11">
        <f t="shared" si="105"/>
        <v>131835</v>
      </c>
      <c r="G137" s="11">
        <f t="shared" si="105"/>
        <v>146640</v>
      </c>
      <c r="H137" s="11">
        <f t="shared" si="105"/>
        <v>156933</v>
      </c>
      <c r="I137" s="11">
        <f t="shared" si="105"/>
        <v>167508</v>
      </c>
      <c r="J137" s="11">
        <f t="shared" si="105"/>
        <v>179658</v>
      </c>
      <c r="K137" s="11">
        <f t="shared" si="105"/>
        <v>192136</v>
      </c>
      <c r="L137" s="11">
        <f t="shared" si="105"/>
        <v>204944</v>
      </c>
      <c r="M137" s="11">
        <f t="shared" si="105"/>
        <v>219443</v>
      </c>
      <c r="N137" s="11">
        <f t="shared" si="105"/>
        <v>234319</v>
      </c>
      <c r="O137" s="11">
        <f t="shared" si="105"/>
        <v>249570</v>
      </c>
      <c r="P137" s="11">
        <f t="shared" si="105"/>
        <v>266631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0">
        <f>SUM(E135:E137)</f>
        <v>178500</v>
      </c>
      <c r="F138" s="10">
        <f t="shared" ref="F138:P138" si="106">SUM(F135:F137)</f>
        <v>235620</v>
      </c>
      <c r="G138" s="10">
        <f t="shared" si="106"/>
        <v>262080</v>
      </c>
      <c r="H138" s="10">
        <f t="shared" si="106"/>
        <v>280476</v>
      </c>
      <c r="I138" s="10">
        <f t="shared" si="106"/>
        <v>299376</v>
      </c>
      <c r="J138" s="10">
        <f t="shared" si="106"/>
        <v>321091</v>
      </c>
      <c r="K138" s="10">
        <f t="shared" si="106"/>
        <v>343392</v>
      </c>
      <c r="L138" s="10">
        <f t="shared" si="106"/>
        <v>366283</v>
      </c>
      <c r="M138" s="10">
        <f t="shared" si="106"/>
        <v>392196</v>
      </c>
      <c r="N138" s="10">
        <f t="shared" si="106"/>
        <v>418783</v>
      </c>
      <c r="O138" s="10">
        <f t="shared" si="106"/>
        <v>446040</v>
      </c>
      <c r="P138" s="10">
        <f t="shared" si="106"/>
        <v>476532</v>
      </c>
    </row>
    <row r="139" spans="1:16" s="2" customFormat="1" x14ac:dyDescent="0.25">
      <c r="A139" s="2">
        <v>580</v>
      </c>
      <c r="B139" s="18" t="s">
        <v>289</v>
      </c>
      <c r="C139" s="303" t="s">
        <v>627</v>
      </c>
      <c r="D139" s="85">
        <v>1000</v>
      </c>
      <c r="E139" s="10">
        <f>IF(E$182=0,0,ROUND(($D139*(1+E$11))*(E$205-E$202),0))</f>
        <v>1000</v>
      </c>
      <c r="F139" s="10">
        <f t="shared" ref="F139:P139" si="107">IF(F$182=0,0,ROUND(($D139*(1+F$11))*(F$205-F$202),0))</f>
        <v>2040</v>
      </c>
      <c r="G139" s="10">
        <f t="shared" si="107"/>
        <v>2080</v>
      </c>
      <c r="H139" s="10">
        <f t="shared" si="107"/>
        <v>2120</v>
      </c>
      <c r="I139" s="10">
        <f t="shared" si="107"/>
        <v>2160</v>
      </c>
      <c r="J139" s="10">
        <f t="shared" si="107"/>
        <v>2200</v>
      </c>
      <c r="K139" s="10">
        <f t="shared" si="107"/>
        <v>2240</v>
      </c>
      <c r="L139" s="10">
        <f t="shared" si="107"/>
        <v>2280</v>
      </c>
      <c r="M139" s="10">
        <f t="shared" si="107"/>
        <v>2900</v>
      </c>
      <c r="N139" s="10">
        <f t="shared" si="107"/>
        <v>2950</v>
      </c>
      <c r="O139" s="10">
        <f t="shared" si="107"/>
        <v>3000</v>
      </c>
      <c r="P139" s="10">
        <f t="shared" si="107"/>
        <v>3050</v>
      </c>
    </row>
    <row r="140" spans="1:16" s="2" customFormat="1" x14ac:dyDescent="0.25">
      <c r="A140" s="2">
        <v>610</v>
      </c>
      <c r="B140" s="18" t="s">
        <v>465</v>
      </c>
      <c r="C140" s="303" t="s">
        <v>625</v>
      </c>
      <c r="D140" s="85">
        <v>160</v>
      </c>
      <c r="E140" s="10">
        <f>IF(E$182=0,0,ROUND(($D140*(1+E$11))*(E$205-E$202)*12,0))</f>
        <v>1920</v>
      </c>
      <c r="F140" s="10">
        <f t="shared" ref="F140:P140" si="108">IF(F$182=0,0,ROUND(($D140*(1+F$11))*(F$205-F$202)*12,0))</f>
        <v>3917</v>
      </c>
      <c r="G140" s="10">
        <f t="shared" si="108"/>
        <v>3994</v>
      </c>
      <c r="H140" s="10">
        <f t="shared" si="108"/>
        <v>4070</v>
      </c>
      <c r="I140" s="10">
        <f t="shared" si="108"/>
        <v>4147</v>
      </c>
      <c r="J140" s="10">
        <f t="shared" si="108"/>
        <v>4224</v>
      </c>
      <c r="K140" s="10">
        <f t="shared" si="108"/>
        <v>4301</v>
      </c>
      <c r="L140" s="10">
        <f t="shared" si="108"/>
        <v>4378</v>
      </c>
      <c r="M140" s="10">
        <f t="shared" si="108"/>
        <v>5568</v>
      </c>
      <c r="N140" s="10">
        <f t="shared" si="108"/>
        <v>5664</v>
      </c>
      <c r="O140" s="10">
        <f t="shared" si="108"/>
        <v>5760</v>
      </c>
      <c r="P140" s="10">
        <f t="shared" si="108"/>
        <v>5856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0</v>
      </c>
      <c r="E141" s="107">
        <f>IF(E$182=0,0,($D141*(1+E$11)*12))</f>
        <v>0</v>
      </c>
      <c r="F141" s="107">
        <f t="shared" ref="F141:P141" si="109">IF(F$182=0,0,($D141*(1+F$11)*12))</f>
        <v>0</v>
      </c>
      <c r="G141" s="107">
        <f t="shared" si="109"/>
        <v>0</v>
      </c>
      <c r="H141" s="107">
        <f t="shared" si="109"/>
        <v>0</v>
      </c>
      <c r="I141" s="107">
        <f t="shared" si="109"/>
        <v>0</v>
      </c>
      <c r="J141" s="107">
        <f t="shared" si="109"/>
        <v>0</v>
      </c>
      <c r="K141" s="107">
        <f t="shared" si="109"/>
        <v>0</v>
      </c>
      <c r="L141" s="107">
        <f t="shared" si="109"/>
        <v>0</v>
      </c>
      <c r="M141" s="107">
        <f t="shared" si="109"/>
        <v>0</v>
      </c>
      <c r="N141" s="107">
        <f t="shared" si="109"/>
        <v>0</v>
      </c>
      <c r="O141" s="107">
        <f t="shared" si="109"/>
        <v>0</v>
      </c>
      <c r="P141" s="107">
        <f t="shared" si="109"/>
        <v>0</v>
      </c>
    </row>
    <row r="142" spans="1:16" s="2" customFormat="1" hidden="1" outlineLevel="1" x14ac:dyDescent="0.25">
      <c r="A142" s="2">
        <v>641</v>
      </c>
      <c r="B142" s="18" t="s">
        <v>53</v>
      </c>
      <c r="C142" s="18" t="s">
        <v>586</v>
      </c>
      <c r="D142" s="85">
        <v>50</v>
      </c>
      <c r="E142" s="154">
        <f t="shared" ref="E142:P144" si="110">IF(E$182=0,0,ROUND(($D142*(1+E$11))*E$182,0))</f>
        <v>4250</v>
      </c>
      <c r="F142" s="154">
        <f t="shared" si="110"/>
        <v>5610</v>
      </c>
      <c r="G142" s="154">
        <f t="shared" si="110"/>
        <v>6240</v>
      </c>
      <c r="H142" s="154">
        <f t="shared" si="110"/>
        <v>6678</v>
      </c>
      <c r="I142" s="154">
        <f t="shared" si="110"/>
        <v>7128</v>
      </c>
      <c r="J142" s="154">
        <f t="shared" si="110"/>
        <v>7645</v>
      </c>
      <c r="K142" s="154">
        <f t="shared" si="110"/>
        <v>8176</v>
      </c>
      <c r="L142" s="154">
        <f t="shared" si="110"/>
        <v>8721</v>
      </c>
      <c r="M142" s="154">
        <f t="shared" si="110"/>
        <v>9338</v>
      </c>
      <c r="N142" s="154">
        <f t="shared" si="110"/>
        <v>9971</v>
      </c>
      <c r="O142" s="154">
        <f t="shared" si="110"/>
        <v>10620</v>
      </c>
      <c r="P142" s="154">
        <f t="shared" si="110"/>
        <v>11346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10"/>
        <v>2550</v>
      </c>
      <c r="F143" s="154">
        <f t="shared" si="110"/>
        <v>3366</v>
      </c>
      <c r="G143" s="154">
        <f t="shared" si="110"/>
        <v>3744</v>
      </c>
      <c r="H143" s="154">
        <f t="shared" si="110"/>
        <v>4007</v>
      </c>
      <c r="I143" s="154">
        <f t="shared" si="110"/>
        <v>4277</v>
      </c>
      <c r="J143" s="154">
        <f t="shared" si="110"/>
        <v>4587</v>
      </c>
      <c r="K143" s="154">
        <f t="shared" si="110"/>
        <v>4906</v>
      </c>
      <c r="L143" s="154">
        <f t="shared" si="110"/>
        <v>5233</v>
      </c>
      <c r="M143" s="154">
        <f t="shared" si="110"/>
        <v>5603</v>
      </c>
      <c r="N143" s="154">
        <f t="shared" si="110"/>
        <v>5983</v>
      </c>
      <c r="O143" s="154">
        <f t="shared" si="110"/>
        <v>6372</v>
      </c>
      <c r="P143" s="154">
        <f t="shared" si="110"/>
        <v>6808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10"/>
        <v>3400</v>
      </c>
      <c r="F144" s="11">
        <f t="shared" si="110"/>
        <v>4488</v>
      </c>
      <c r="G144" s="11">
        <f t="shared" si="110"/>
        <v>4992</v>
      </c>
      <c r="H144" s="11">
        <f t="shared" si="110"/>
        <v>5342</v>
      </c>
      <c r="I144" s="11">
        <f t="shared" si="110"/>
        <v>5702</v>
      </c>
      <c r="J144" s="11">
        <f t="shared" si="110"/>
        <v>6116</v>
      </c>
      <c r="K144" s="11">
        <f t="shared" si="110"/>
        <v>6541</v>
      </c>
      <c r="L144" s="11">
        <f t="shared" si="110"/>
        <v>6977</v>
      </c>
      <c r="M144" s="11">
        <f t="shared" si="110"/>
        <v>7470</v>
      </c>
      <c r="N144" s="11">
        <f t="shared" si="110"/>
        <v>7977</v>
      </c>
      <c r="O144" s="11">
        <f t="shared" si="110"/>
        <v>8496</v>
      </c>
      <c r="P144" s="11">
        <f t="shared" si="110"/>
        <v>9077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0">
        <f>SUM(E142:E144)</f>
        <v>10200</v>
      </c>
      <c r="F145" s="10">
        <f t="shared" ref="F145:P145" si="111">SUM(F142:F144)</f>
        <v>13464</v>
      </c>
      <c r="G145" s="10">
        <f t="shared" si="111"/>
        <v>14976</v>
      </c>
      <c r="H145" s="10">
        <f t="shared" si="111"/>
        <v>16027</v>
      </c>
      <c r="I145" s="10">
        <f t="shared" si="111"/>
        <v>17107</v>
      </c>
      <c r="J145" s="10">
        <f t="shared" si="111"/>
        <v>18348</v>
      </c>
      <c r="K145" s="10">
        <f t="shared" si="111"/>
        <v>19623</v>
      </c>
      <c r="L145" s="10">
        <f t="shared" si="111"/>
        <v>20931</v>
      </c>
      <c r="M145" s="10">
        <f t="shared" si="111"/>
        <v>22411</v>
      </c>
      <c r="N145" s="10">
        <f t="shared" si="111"/>
        <v>23931</v>
      </c>
      <c r="O145" s="10">
        <f t="shared" si="111"/>
        <v>25488</v>
      </c>
      <c r="P145" s="10">
        <f t="shared" si="111"/>
        <v>27231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0">
        <f t="shared" ref="E146:P147" si="112">IF(E$182=0,0,ROUND(($D146*E$182)*(1+E$11),0))</f>
        <v>8500</v>
      </c>
      <c r="F146" s="10">
        <f t="shared" si="112"/>
        <v>11220</v>
      </c>
      <c r="G146" s="10">
        <f t="shared" si="112"/>
        <v>12480</v>
      </c>
      <c r="H146" s="10">
        <f t="shared" si="112"/>
        <v>13356</v>
      </c>
      <c r="I146" s="10">
        <f t="shared" si="112"/>
        <v>14256</v>
      </c>
      <c r="J146" s="10">
        <f t="shared" si="112"/>
        <v>15290</v>
      </c>
      <c r="K146" s="10">
        <f t="shared" si="112"/>
        <v>16352</v>
      </c>
      <c r="L146" s="10">
        <f t="shared" si="112"/>
        <v>17442</v>
      </c>
      <c r="M146" s="10">
        <f t="shared" si="112"/>
        <v>18676</v>
      </c>
      <c r="N146" s="10">
        <f t="shared" si="112"/>
        <v>19942</v>
      </c>
      <c r="O146" s="10">
        <f t="shared" si="112"/>
        <v>21240</v>
      </c>
      <c r="P146" s="10">
        <f t="shared" si="112"/>
        <v>22692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2"/>
        <v>9775</v>
      </c>
      <c r="F147" s="11">
        <f t="shared" si="112"/>
        <v>12903</v>
      </c>
      <c r="G147" s="11">
        <f t="shared" si="112"/>
        <v>14352</v>
      </c>
      <c r="H147" s="11">
        <f t="shared" si="112"/>
        <v>15359</v>
      </c>
      <c r="I147" s="11">
        <f t="shared" si="112"/>
        <v>16394</v>
      </c>
      <c r="J147" s="11">
        <f t="shared" si="112"/>
        <v>17584</v>
      </c>
      <c r="K147" s="11">
        <f t="shared" si="112"/>
        <v>18805</v>
      </c>
      <c r="L147" s="11">
        <f t="shared" si="112"/>
        <v>20058</v>
      </c>
      <c r="M147" s="11">
        <f t="shared" si="112"/>
        <v>21477</v>
      </c>
      <c r="N147" s="11">
        <f t="shared" si="112"/>
        <v>22933</v>
      </c>
      <c r="O147" s="11">
        <f t="shared" si="112"/>
        <v>24426</v>
      </c>
      <c r="P147" s="11">
        <f t="shared" si="112"/>
        <v>26096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0">
        <f>SUM(E146:E147)</f>
        <v>18275</v>
      </c>
      <c r="F148" s="10">
        <f t="shared" ref="F148:P148" si="113">SUM(F146:F147)</f>
        <v>24123</v>
      </c>
      <c r="G148" s="10">
        <f t="shared" si="113"/>
        <v>26832</v>
      </c>
      <c r="H148" s="10">
        <f t="shared" si="113"/>
        <v>28715</v>
      </c>
      <c r="I148" s="10">
        <f t="shared" si="113"/>
        <v>30650</v>
      </c>
      <c r="J148" s="10">
        <f t="shared" si="113"/>
        <v>32874</v>
      </c>
      <c r="K148" s="10">
        <f t="shared" si="113"/>
        <v>35157</v>
      </c>
      <c r="L148" s="10">
        <f t="shared" si="113"/>
        <v>37500</v>
      </c>
      <c r="M148" s="10">
        <f t="shared" si="113"/>
        <v>40153</v>
      </c>
      <c r="N148" s="10">
        <f t="shared" si="113"/>
        <v>42875</v>
      </c>
      <c r="O148" s="10">
        <f t="shared" si="113"/>
        <v>45666</v>
      </c>
      <c r="P148" s="10">
        <f t="shared" si="113"/>
        <v>48788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07">
        <f>IF(E$182=0,0,($D149*12))</f>
        <v>0</v>
      </c>
      <c r="F149" s="107">
        <f t="shared" ref="F149:P151" si="114">IF(F$182=0,0,($D149*12))</f>
        <v>0</v>
      </c>
      <c r="G149" s="107">
        <f t="shared" si="114"/>
        <v>0</v>
      </c>
      <c r="H149" s="107">
        <f t="shared" si="114"/>
        <v>0</v>
      </c>
      <c r="I149" s="107">
        <f t="shared" si="114"/>
        <v>0</v>
      </c>
      <c r="J149" s="107">
        <f t="shared" si="114"/>
        <v>0</v>
      </c>
      <c r="K149" s="107">
        <f t="shared" si="114"/>
        <v>0</v>
      </c>
      <c r="L149" s="107">
        <f t="shared" si="114"/>
        <v>0</v>
      </c>
      <c r="M149" s="107">
        <f t="shared" si="114"/>
        <v>0</v>
      </c>
      <c r="N149" s="107">
        <f t="shared" si="114"/>
        <v>0</v>
      </c>
      <c r="O149" s="107">
        <f t="shared" si="114"/>
        <v>0</v>
      </c>
      <c r="P149" s="107">
        <f t="shared" si="114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07">
        <f>IF(E$182=0,0,($D150*12))</f>
        <v>0</v>
      </c>
      <c r="F150" s="107">
        <f t="shared" si="114"/>
        <v>0</v>
      </c>
      <c r="G150" s="107">
        <f t="shared" si="114"/>
        <v>0</v>
      </c>
      <c r="H150" s="107">
        <f t="shared" si="114"/>
        <v>0</v>
      </c>
      <c r="I150" s="107">
        <f t="shared" si="114"/>
        <v>0</v>
      </c>
      <c r="J150" s="107">
        <f t="shared" si="114"/>
        <v>0</v>
      </c>
      <c r="K150" s="107">
        <f t="shared" si="114"/>
        <v>0</v>
      </c>
      <c r="L150" s="107">
        <f t="shared" si="114"/>
        <v>0</v>
      </c>
      <c r="M150" s="107">
        <f t="shared" si="114"/>
        <v>0</v>
      </c>
      <c r="N150" s="107">
        <f t="shared" si="114"/>
        <v>0</v>
      </c>
      <c r="O150" s="107">
        <f t="shared" si="114"/>
        <v>0</v>
      </c>
      <c r="P150" s="107">
        <f t="shared" si="114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07">
        <f>IF(E$182=0,0,($D151*12))</f>
        <v>0</v>
      </c>
      <c r="F151" s="107">
        <f t="shared" si="114"/>
        <v>0</v>
      </c>
      <c r="G151" s="107">
        <f t="shared" si="114"/>
        <v>0</v>
      </c>
      <c r="H151" s="107">
        <f t="shared" si="114"/>
        <v>0</v>
      </c>
      <c r="I151" s="107">
        <f t="shared" si="114"/>
        <v>0</v>
      </c>
      <c r="J151" s="107">
        <f t="shared" si="114"/>
        <v>0</v>
      </c>
      <c r="K151" s="107">
        <f t="shared" si="114"/>
        <v>0</v>
      </c>
      <c r="L151" s="107">
        <f t="shared" si="114"/>
        <v>0</v>
      </c>
      <c r="M151" s="107">
        <f t="shared" si="114"/>
        <v>0</v>
      </c>
      <c r="N151" s="107">
        <f t="shared" si="114"/>
        <v>0</v>
      </c>
      <c r="O151" s="107">
        <f t="shared" si="114"/>
        <v>0</v>
      </c>
      <c r="P151" s="107">
        <f t="shared" si="114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07">
        <f t="shared" ref="E152:E159" si="115">IF(E$182=0,0,$D152)</f>
        <v>0</v>
      </c>
      <c r="F152" s="107">
        <f t="shared" ref="F152:P159" si="116">IF(F$182=0,0,$D152)</f>
        <v>0</v>
      </c>
      <c r="G152" s="107">
        <f t="shared" si="116"/>
        <v>0</v>
      </c>
      <c r="H152" s="107">
        <f t="shared" si="116"/>
        <v>0</v>
      </c>
      <c r="I152" s="107">
        <f t="shared" si="116"/>
        <v>0</v>
      </c>
      <c r="J152" s="107">
        <f t="shared" si="116"/>
        <v>0</v>
      </c>
      <c r="K152" s="107">
        <f t="shared" si="116"/>
        <v>0</v>
      </c>
      <c r="L152" s="107">
        <f t="shared" si="116"/>
        <v>0</v>
      </c>
      <c r="M152" s="107">
        <f t="shared" si="116"/>
        <v>0</v>
      </c>
      <c r="N152" s="107">
        <f t="shared" si="116"/>
        <v>0</v>
      </c>
      <c r="O152" s="107">
        <f t="shared" si="116"/>
        <v>0</v>
      </c>
      <c r="P152" s="107">
        <f t="shared" si="116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07">
        <f t="shared" si="115"/>
        <v>0</v>
      </c>
      <c r="F153" s="107">
        <f t="shared" si="116"/>
        <v>0</v>
      </c>
      <c r="G153" s="107">
        <f t="shared" si="116"/>
        <v>0</v>
      </c>
      <c r="H153" s="107">
        <f t="shared" si="116"/>
        <v>0</v>
      </c>
      <c r="I153" s="107">
        <f t="shared" si="116"/>
        <v>0</v>
      </c>
      <c r="J153" s="107">
        <f t="shared" si="116"/>
        <v>0</v>
      </c>
      <c r="K153" s="107">
        <f t="shared" si="116"/>
        <v>0</v>
      </c>
      <c r="L153" s="107">
        <f t="shared" si="116"/>
        <v>0</v>
      </c>
      <c r="M153" s="107">
        <f t="shared" si="116"/>
        <v>0</v>
      </c>
      <c r="N153" s="107">
        <f t="shared" si="116"/>
        <v>0</v>
      </c>
      <c r="O153" s="107">
        <f t="shared" si="116"/>
        <v>0</v>
      </c>
      <c r="P153" s="107">
        <f t="shared" si="116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07">
        <f t="shared" si="115"/>
        <v>0</v>
      </c>
      <c r="F154" s="107">
        <f t="shared" si="116"/>
        <v>0</v>
      </c>
      <c r="G154" s="107">
        <f t="shared" si="116"/>
        <v>0</v>
      </c>
      <c r="H154" s="107">
        <f t="shared" si="116"/>
        <v>0</v>
      </c>
      <c r="I154" s="107">
        <f t="shared" si="116"/>
        <v>0</v>
      </c>
      <c r="J154" s="107">
        <f t="shared" si="116"/>
        <v>0</v>
      </c>
      <c r="K154" s="107">
        <f t="shared" si="116"/>
        <v>0</v>
      </c>
      <c r="L154" s="107">
        <f t="shared" si="116"/>
        <v>0</v>
      </c>
      <c r="M154" s="107">
        <f t="shared" si="116"/>
        <v>0</v>
      </c>
      <c r="N154" s="107">
        <f t="shared" si="116"/>
        <v>0</v>
      </c>
      <c r="O154" s="107">
        <f t="shared" si="116"/>
        <v>0</v>
      </c>
      <c r="P154" s="107">
        <f t="shared" si="116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07">
        <f t="shared" si="115"/>
        <v>0</v>
      </c>
      <c r="F155" s="107">
        <f t="shared" si="116"/>
        <v>0</v>
      </c>
      <c r="G155" s="107">
        <f t="shared" si="116"/>
        <v>0</v>
      </c>
      <c r="H155" s="107">
        <f t="shared" si="116"/>
        <v>0</v>
      </c>
      <c r="I155" s="107">
        <f t="shared" si="116"/>
        <v>0</v>
      </c>
      <c r="J155" s="107">
        <f t="shared" si="116"/>
        <v>0</v>
      </c>
      <c r="K155" s="107">
        <f t="shared" si="116"/>
        <v>0</v>
      </c>
      <c r="L155" s="107">
        <f t="shared" si="116"/>
        <v>0</v>
      </c>
      <c r="M155" s="107">
        <f t="shared" si="116"/>
        <v>0</v>
      </c>
      <c r="N155" s="107">
        <f t="shared" si="116"/>
        <v>0</v>
      </c>
      <c r="O155" s="107">
        <f t="shared" si="116"/>
        <v>0</v>
      </c>
      <c r="P155" s="107">
        <f t="shared" si="116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07">
        <f t="shared" si="115"/>
        <v>0</v>
      </c>
      <c r="F156" s="107">
        <f t="shared" si="116"/>
        <v>0</v>
      </c>
      <c r="G156" s="107">
        <f t="shared" si="116"/>
        <v>0</v>
      </c>
      <c r="H156" s="107">
        <f t="shared" si="116"/>
        <v>0</v>
      </c>
      <c r="I156" s="107">
        <f t="shared" si="116"/>
        <v>0</v>
      </c>
      <c r="J156" s="107">
        <f t="shared" si="116"/>
        <v>0</v>
      </c>
      <c r="K156" s="107">
        <f t="shared" si="116"/>
        <v>0</v>
      </c>
      <c r="L156" s="107">
        <f t="shared" si="116"/>
        <v>0</v>
      </c>
      <c r="M156" s="107">
        <f t="shared" si="116"/>
        <v>0</v>
      </c>
      <c r="N156" s="107">
        <f t="shared" si="116"/>
        <v>0</v>
      </c>
      <c r="O156" s="107">
        <f t="shared" si="116"/>
        <v>0</v>
      </c>
      <c r="P156" s="107">
        <f t="shared" si="116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604</v>
      </c>
      <c r="D157" s="85">
        <v>0</v>
      </c>
      <c r="E157" s="107">
        <f t="shared" si="115"/>
        <v>0</v>
      </c>
      <c r="F157" s="107">
        <f t="shared" si="116"/>
        <v>0</v>
      </c>
      <c r="G157" s="107">
        <f t="shared" si="116"/>
        <v>0</v>
      </c>
      <c r="H157" s="107">
        <f t="shared" si="116"/>
        <v>0</v>
      </c>
      <c r="I157" s="107">
        <f t="shared" si="116"/>
        <v>0</v>
      </c>
      <c r="J157" s="107">
        <f t="shared" si="116"/>
        <v>0</v>
      </c>
      <c r="K157" s="107">
        <f t="shared" si="116"/>
        <v>0</v>
      </c>
      <c r="L157" s="107">
        <f t="shared" si="116"/>
        <v>0</v>
      </c>
      <c r="M157" s="107">
        <f t="shared" si="116"/>
        <v>0</v>
      </c>
      <c r="N157" s="107">
        <f t="shared" si="116"/>
        <v>0</v>
      </c>
      <c r="O157" s="107">
        <f t="shared" si="116"/>
        <v>0</v>
      </c>
      <c r="P157" s="107">
        <f t="shared" si="116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604</v>
      </c>
      <c r="D158" s="85">
        <v>0</v>
      </c>
      <c r="E158" s="107">
        <f t="shared" si="115"/>
        <v>0</v>
      </c>
      <c r="F158" s="107">
        <f t="shared" si="116"/>
        <v>0</v>
      </c>
      <c r="G158" s="107">
        <f t="shared" si="116"/>
        <v>0</v>
      </c>
      <c r="H158" s="107">
        <f t="shared" si="116"/>
        <v>0</v>
      </c>
      <c r="I158" s="107">
        <f t="shared" si="116"/>
        <v>0</v>
      </c>
      <c r="J158" s="107">
        <f t="shared" si="116"/>
        <v>0</v>
      </c>
      <c r="K158" s="107">
        <f t="shared" si="116"/>
        <v>0</v>
      </c>
      <c r="L158" s="107">
        <f t="shared" si="116"/>
        <v>0</v>
      </c>
      <c r="M158" s="107">
        <f t="shared" si="116"/>
        <v>0</v>
      </c>
      <c r="N158" s="107">
        <f t="shared" si="116"/>
        <v>0</v>
      </c>
      <c r="O158" s="107">
        <f t="shared" si="116"/>
        <v>0</v>
      </c>
      <c r="P158" s="107">
        <f t="shared" si="116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32">
        <f t="shared" si="115"/>
        <v>0</v>
      </c>
      <c r="F159" s="32">
        <f t="shared" si="116"/>
        <v>0</v>
      </c>
      <c r="G159" s="32">
        <f t="shared" si="116"/>
        <v>0</v>
      </c>
      <c r="H159" s="32">
        <f t="shared" si="116"/>
        <v>0</v>
      </c>
      <c r="I159" s="32">
        <f t="shared" si="116"/>
        <v>0</v>
      </c>
      <c r="J159" s="32">
        <f t="shared" si="116"/>
        <v>0</v>
      </c>
      <c r="K159" s="32">
        <f t="shared" si="116"/>
        <v>0</v>
      </c>
      <c r="L159" s="32">
        <f t="shared" si="116"/>
        <v>0</v>
      </c>
      <c r="M159" s="32">
        <f t="shared" si="116"/>
        <v>0</v>
      </c>
      <c r="N159" s="32">
        <f t="shared" si="116"/>
        <v>0</v>
      </c>
      <c r="O159" s="32">
        <f t="shared" si="116"/>
        <v>0</v>
      </c>
      <c r="P159" s="32">
        <f t="shared" si="116"/>
        <v>0</v>
      </c>
    </row>
    <row r="160" spans="1:16" s="2" customFormat="1" collapsed="1" x14ac:dyDescent="0.25">
      <c r="A160" s="2">
        <v>651</v>
      </c>
      <c r="B160" s="18" t="s">
        <v>469</v>
      </c>
      <c r="D160" s="164"/>
      <c r="E160" s="10">
        <f>SUM(E149:E159)</f>
        <v>0</v>
      </c>
      <c r="F160" s="10">
        <f t="shared" ref="F160:P160" si="117">SUM(F149:F159)</f>
        <v>0</v>
      </c>
      <c r="G160" s="10">
        <f t="shared" si="117"/>
        <v>0</v>
      </c>
      <c r="H160" s="10">
        <f t="shared" si="117"/>
        <v>0</v>
      </c>
      <c r="I160" s="10">
        <f t="shared" si="117"/>
        <v>0</v>
      </c>
      <c r="J160" s="10">
        <f t="shared" si="117"/>
        <v>0</v>
      </c>
      <c r="K160" s="10">
        <f t="shared" si="117"/>
        <v>0</v>
      </c>
      <c r="L160" s="10">
        <f t="shared" si="117"/>
        <v>0</v>
      </c>
      <c r="M160" s="10">
        <f t="shared" si="117"/>
        <v>0</v>
      </c>
      <c r="N160" s="10">
        <f t="shared" si="117"/>
        <v>0</v>
      </c>
      <c r="O160" s="10">
        <f t="shared" si="117"/>
        <v>0</v>
      </c>
      <c r="P160" s="10">
        <f t="shared" si="117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2" t="s">
        <v>638</v>
      </c>
      <c r="D161" s="85">
        <v>500</v>
      </c>
      <c r="E161" s="107">
        <v>0</v>
      </c>
      <c r="F161" s="10">
        <f>IF(F$182=0,0,(ROUND(0.1*F182,0)*$D161))</f>
        <v>5500</v>
      </c>
      <c r="G161" s="107">
        <v>0</v>
      </c>
      <c r="H161" s="107">
        <v>0</v>
      </c>
      <c r="I161" s="107">
        <v>0</v>
      </c>
      <c r="J161" s="10">
        <f>IF(J$182=0,0,(ROUND(0.1*J182,0)*$D161))</f>
        <v>7000</v>
      </c>
      <c r="K161" s="107">
        <v>0</v>
      </c>
      <c r="L161" s="107">
        <v>0</v>
      </c>
      <c r="M161" s="107">
        <v>0</v>
      </c>
      <c r="N161" s="10">
        <f>IF(N$182=0,0,(ROUND(0.1*N182,0)*$D161))</f>
        <v>8500</v>
      </c>
      <c r="O161" s="107">
        <v>0</v>
      </c>
      <c r="P161" s="107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618</v>
      </c>
      <c r="D162" s="85">
        <v>5000</v>
      </c>
      <c r="E162" s="107">
        <v>0</v>
      </c>
      <c r="F162" s="107">
        <v>0</v>
      </c>
      <c r="G162" s="107">
        <v>0</v>
      </c>
      <c r="H162" s="107">
        <v>0</v>
      </c>
      <c r="I162" s="107">
        <f>IF(I$182=0,0,$D162)</f>
        <v>5000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f>IF(O$182=0,0,$D162)</f>
        <v>5000</v>
      </c>
      <c r="P162" s="107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619</v>
      </c>
      <c r="D163" s="85">
        <v>3000</v>
      </c>
      <c r="E163" s="32">
        <v>0</v>
      </c>
      <c r="F163" s="32">
        <v>0</v>
      </c>
      <c r="G163" s="32">
        <v>0</v>
      </c>
      <c r="H163" s="32">
        <f>IF(H$182=0,0,$D163)</f>
        <v>3000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f>IF(N$182=0,0,$D163)</f>
        <v>3000</v>
      </c>
      <c r="O163" s="32">
        <v>0</v>
      </c>
      <c r="P163" s="32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0">
        <f>SUM(E161:E163)</f>
        <v>0</v>
      </c>
      <c r="F164" s="10">
        <f t="shared" ref="F164:P164" si="118">SUM(F161:F163)</f>
        <v>5500</v>
      </c>
      <c r="G164" s="10">
        <f t="shared" si="118"/>
        <v>0</v>
      </c>
      <c r="H164" s="10">
        <f t="shared" si="118"/>
        <v>3000</v>
      </c>
      <c r="I164" s="10">
        <f t="shared" si="118"/>
        <v>5000</v>
      </c>
      <c r="J164" s="10">
        <f t="shared" si="118"/>
        <v>7000</v>
      </c>
      <c r="K164" s="10">
        <f t="shared" si="118"/>
        <v>0</v>
      </c>
      <c r="L164" s="10">
        <f t="shared" si="118"/>
        <v>0</v>
      </c>
      <c r="M164" s="10">
        <f t="shared" si="118"/>
        <v>0</v>
      </c>
      <c r="N164" s="10">
        <f t="shared" si="118"/>
        <v>11500</v>
      </c>
      <c r="O164" s="10">
        <f t="shared" si="118"/>
        <v>5000</v>
      </c>
      <c r="P164" s="10">
        <f t="shared" si="118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0">
        <f>IF(E$182=0,0,$D165*E$182)</f>
        <v>425</v>
      </c>
      <c r="F165" s="10">
        <f t="shared" ref="F165:P166" si="119">IF(F$182=0,0,$D165*F$182)</f>
        <v>550</v>
      </c>
      <c r="G165" s="10">
        <f t="shared" si="119"/>
        <v>600</v>
      </c>
      <c r="H165" s="10">
        <f t="shared" si="119"/>
        <v>630</v>
      </c>
      <c r="I165" s="10">
        <f t="shared" si="119"/>
        <v>660</v>
      </c>
      <c r="J165" s="10">
        <f t="shared" si="119"/>
        <v>695</v>
      </c>
      <c r="K165" s="10">
        <f t="shared" si="119"/>
        <v>730</v>
      </c>
      <c r="L165" s="10">
        <f t="shared" si="119"/>
        <v>765</v>
      </c>
      <c r="M165" s="10">
        <f t="shared" si="119"/>
        <v>805</v>
      </c>
      <c r="N165" s="10">
        <f t="shared" si="119"/>
        <v>845</v>
      </c>
      <c r="O165" s="10">
        <f t="shared" si="119"/>
        <v>885</v>
      </c>
      <c r="P165" s="10">
        <f t="shared" si="119"/>
        <v>930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0">
        <f>IF(E$182=0,0,$D166*E$182)</f>
        <v>425</v>
      </c>
      <c r="F166" s="10">
        <f t="shared" si="119"/>
        <v>550</v>
      </c>
      <c r="G166" s="10">
        <f t="shared" si="119"/>
        <v>600</v>
      </c>
      <c r="H166" s="10">
        <f t="shared" si="119"/>
        <v>630</v>
      </c>
      <c r="I166" s="10">
        <f t="shared" si="119"/>
        <v>660</v>
      </c>
      <c r="J166" s="10">
        <f t="shared" si="119"/>
        <v>695</v>
      </c>
      <c r="K166" s="10">
        <f t="shared" si="119"/>
        <v>730</v>
      </c>
      <c r="L166" s="10">
        <f t="shared" si="119"/>
        <v>765</v>
      </c>
      <c r="M166" s="10">
        <f t="shared" si="119"/>
        <v>805</v>
      </c>
      <c r="N166" s="10">
        <f t="shared" si="119"/>
        <v>845</v>
      </c>
      <c r="O166" s="10">
        <f t="shared" si="119"/>
        <v>885</v>
      </c>
      <c r="P166" s="10">
        <f t="shared" si="119"/>
        <v>930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07">
        <f>IF(E$182=0,0,$D167*10)</f>
        <v>50</v>
      </c>
      <c r="F167" s="107">
        <f t="shared" ref="F167:P167" si="120">IF(F$182=0,0,$D167*10)</f>
        <v>50</v>
      </c>
      <c r="G167" s="107">
        <f t="shared" si="120"/>
        <v>50</v>
      </c>
      <c r="H167" s="107">
        <f t="shared" si="120"/>
        <v>50</v>
      </c>
      <c r="I167" s="107">
        <f t="shared" si="120"/>
        <v>50</v>
      </c>
      <c r="J167" s="107">
        <f t="shared" si="120"/>
        <v>50</v>
      </c>
      <c r="K167" s="107">
        <f t="shared" si="120"/>
        <v>50</v>
      </c>
      <c r="L167" s="107">
        <f t="shared" si="120"/>
        <v>50</v>
      </c>
      <c r="M167" s="107">
        <f t="shared" si="120"/>
        <v>50</v>
      </c>
      <c r="N167" s="107">
        <f t="shared" si="120"/>
        <v>50</v>
      </c>
      <c r="O167" s="107">
        <f t="shared" si="120"/>
        <v>50</v>
      </c>
      <c r="P167" s="107">
        <f t="shared" si="120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07">
        <f>IF(E$182=0,0,$D168)</f>
        <v>0</v>
      </c>
      <c r="F168" s="107">
        <f t="shared" ref="F168:P170" si="121">IF(F$182=0,0,$D168)</f>
        <v>0</v>
      </c>
      <c r="G168" s="107">
        <f t="shared" si="121"/>
        <v>0</v>
      </c>
      <c r="H168" s="107">
        <f t="shared" si="121"/>
        <v>0</v>
      </c>
      <c r="I168" s="107">
        <f t="shared" si="121"/>
        <v>0</v>
      </c>
      <c r="J168" s="107">
        <f t="shared" si="121"/>
        <v>0</v>
      </c>
      <c r="K168" s="107">
        <f t="shared" si="121"/>
        <v>0</v>
      </c>
      <c r="L168" s="107">
        <f t="shared" si="121"/>
        <v>0</v>
      </c>
      <c r="M168" s="107">
        <f t="shared" si="121"/>
        <v>0</v>
      </c>
      <c r="N168" s="107">
        <f t="shared" si="121"/>
        <v>0</v>
      </c>
      <c r="O168" s="107">
        <f t="shared" si="121"/>
        <v>0</v>
      </c>
      <c r="P168" s="107">
        <f t="shared" si="121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07">
        <f>IF(E$182=0,0,$D169)</f>
        <v>0</v>
      </c>
      <c r="F169" s="107">
        <f t="shared" si="121"/>
        <v>0</v>
      </c>
      <c r="G169" s="107">
        <f t="shared" si="121"/>
        <v>0</v>
      </c>
      <c r="H169" s="107">
        <f t="shared" si="121"/>
        <v>0</v>
      </c>
      <c r="I169" s="107">
        <f t="shared" si="121"/>
        <v>0</v>
      </c>
      <c r="J169" s="107">
        <f t="shared" si="121"/>
        <v>0</v>
      </c>
      <c r="K169" s="107">
        <f t="shared" si="121"/>
        <v>0</v>
      </c>
      <c r="L169" s="107">
        <f t="shared" si="121"/>
        <v>0</v>
      </c>
      <c r="M169" s="107">
        <f t="shared" si="121"/>
        <v>0</v>
      </c>
      <c r="N169" s="107">
        <f t="shared" si="121"/>
        <v>0</v>
      </c>
      <c r="O169" s="107">
        <f t="shared" si="121"/>
        <v>0</v>
      </c>
      <c r="P169" s="107">
        <f t="shared" si="121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07">
        <f>IF(E$182=0,0,$D170)</f>
        <v>0</v>
      </c>
      <c r="F170" s="107">
        <f t="shared" si="121"/>
        <v>0</v>
      </c>
      <c r="G170" s="107">
        <f t="shared" si="121"/>
        <v>0</v>
      </c>
      <c r="H170" s="107">
        <f t="shared" si="121"/>
        <v>0</v>
      </c>
      <c r="I170" s="107">
        <f t="shared" si="121"/>
        <v>0</v>
      </c>
      <c r="J170" s="107">
        <f t="shared" si="121"/>
        <v>0</v>
      </c>
      <c r="K170" s="107">
        <f t="shared" si="121"/>
        <v>0</v>
      </c>
      <c r="L170" s="107">
        <f t="shared" si="121"/>
        <v>0</v>
      </c>
      <c r="M170" s="107">
        <f t="shared" si="121"/>
        <v>0</v>
      </c>
      <c r="N170" s="107">
        <f t="shared" si="121"/>
        <v>0</v>
      </c>
      <c r="O170" s="107">
        <f t="shared" si="121"/>
        <v>0</v>
      </c>
      <c r="P170" s="107">
        <f t="shared" si="121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07">
        <f>IF(E$182=0,0,($D171*12))</f>
        <v>0</v>
      </c>
      <c r="F171" s="107">
        <f t="shared" ref="F171:P171" si="122">IF(F$182=0,0,($D171*12))</f>
        <v>0</v>
      </c>
      <c r="G171" s="107">
        <f t="shared" si="122"/>
        <v>0</v>
      </c>
      <c r="H171" s="107">
        <f t="shared" si="122"/>
        <v>0</v>
      </c>
      <c r="I171" s="107">
        <f t="shared" si="122"/>
        <v>0</v>
      </c>
      <c r="J171" s="107">
        <f t="shared" si="122"/>
        <v>0</v>
      </c>
      <c r="K171" s="107">
        <f t="shared" si="122"/>
        <v>0</v>
      </c>
      <c r="L171" s="107">
        <f t="shared" si="122"/>
        <v>0</v>
      </c>
      <c r="M171" s="107">
        <f t="shared" si="122"/>
        <v>0</v>
      </c>
      <c r="N171" s="107">
        <f t="shared" si="122"/>
        <v>0</v>
      </c>
      <c r="O171" s="107">
        <f t="shared" si="122"/>
        <v>0</v>
      </c>
      <c r="P171" s="107">
        <f t="shared" si="122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622</v>
      </c>
      <c r="D172" s="85">
        <v>0</v>
      </c>
      <c r="E172" s="32">
        <f>IF(E$182=0,0,$D172)</f>
        <v>0</v>
      </c>
      <c r="F172" s="32">
        <f t="shared" ref="F172:P172" si="123">IF(F$182=0,0,$D172)</f>
        <v>0</v>
      </c>
      <c r="G172" s="32">
        <f t="shared" si="123"/>
        <v>0</v>
      </c>
      <c r="H172" s="32">
        <f t="shared" si="123"/>
        <v>0</v>
      </c>
      <c r="I172" s="32">
        <f t="shared" si="123"/>
        <v>0</v>
      </c>
      <c r="J172" s="32">
        <f t="shared" si="123"/>
        <v>0</v>
      </c>
      <c r="K172" s="32">
        <f t="shared" si="123"/>
        <v>0</v>
      </c>
      <c r="L172" s="32">
        <f t="shared" si="123"/>
        <v>0</v>
      </c>
      <c r="M172" s="32">
        <f t="shared" si="123"/>
        <v>0</v>
      </c>
      <c r="N172" s="32">
        <f t="shared" si="123"/>
        <v>0</v>
      </c>
      <c r="O172" s="32">
        <f t="shared" si="123"/>
        <v>0</v>
      </c>
      <c r="P172" s="32">
        <f t="shared" si="123"/>
        <v>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0">
        <f t="shared" ref="E173:P173" si="124">SUM(E165:E172)</f>
        <v>900</v>
      </c>
      <c r="F173" s="10">
        <f t="shared" si="124"/>
        <v>1150</v>
      </c>
      <c r="G173" s="10">
        <f t="shared" si="124"/>
        <v>1250</v>
      </c>
      <c r="H173" s="10">
        <f t="shared" si="124"/>
        <v>1310</v>
      </c>
      <c r="I173" s="10">
        <f t="shared" si="124"/>
        <v>1370</v>
      </c>
      <c r="J173" s="10">
        <f t="shared" si="124"/>
        <v>1440</v>
      </c>
      <c r="K173" s="10">
        <f t="shared" si="124"/>
        <v>1510</v>
      </c>
      <c r="L173" s="10">
        <f t="shared" si="124"/>
        <v>1580</v>
      </c>
      <c r="M173" s="10">
        <f t="shared" si="124"/>
        <v>1660</v>
      </c>
      <c r="N173" s="10">
        <f t="shared" si="124"/>
        <v>1740</v>
      </c>
      <c r="O173" s="10">
        <f t="shared" si="124"/>
        <v>1820</v>
      </c>
      <c r="P173" s="10">
        <f t="shared" si="124"/>
        <v>1910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</row>
    <row r="175" spans="1:16" s="2" customFormat="1" x14ac:dyDescent="0.25">
      <c r="A175" s="2">
        <v>950</v>
      </c>
      <c r="B175" s="18" t="s">
        <v>86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387772.62400000001</v>
      </c>
      <c r="F176" s="183">
        <f>F175+F174+F173+F164+F160+F148+F145+F141+F140+F139+F138+F134+F133+F126+F120+F119+F118+F114+F109+F108+F105+F104+F102+F101+F96+F92+F84+F83+F82+F81+F55</f>
        <v>533328.77242950001</v>
      </c>
      <c r="G176" s="183">
        <f t="shared" ref="G176:P176" si="125">G175+G174+G173+G164+G160+G148+G145+G141+G140+G139+G138+G134+G133+G126+G120+G119+G118+G114+G109+G108+G105+G104+G102+G101+G96+G92+G84+G83+G82+G81+G55</f>
        <v>565078.85371837497</v>
      </c>
      <c r="H176" s="183">
        <f t="shared" si="125"/>
        <v>595864.11886753945</v>
      </c>
      <c r="I176" s="183">
        <f t="shared" si="125"/>
        <v>625780.48655393324</v>
      </c>
      <c r="J176" s="183">
        <f t="shared" si="125"/>
        <v>659177.69004833431</v>
      </c>
      <c r="K176" s="183">
        <f t="shared" si="125"/>
        <v>684305.22066051152</v>
      </c>
      <c r="L176" s="183">
        <f t="shared" si="125"/>
        <v>717165.93994633306</v>
      </c>
      <c r="M176" s="183">
        <f t="shared" si="125"/>
        <v>803539.60835670447</v>
      </c>
      <c r="N176" s="183">
        <f t="shared" si="125"/>
        <v>853333.35584015213</v>
      </c>
      <c r="O176" s="183">
        <f t="shared" si="125"/>
        <v>886460.67730661784</v>
      </c>
      <c r="P176" s="183">
        <f t="shared" si="125"/>
        <v>924579.38679689984</v>
      </c>
    </row>
    <row r="177" spans="1:16" s="2" customFormat="1" ht="15.75" thickBot="1" x14ac:dyDescent="0.3">
      <c r="A177" s="16" t="s">
        <v>217</v>
      </c>
      <c r="C177" s="10"/>
      <c r="E177" s="184">
        <f>E39-E176</f>
        <v>20843.625999999989</v>
      </c>
      <c r="F177" s="184">
        <f>F39-F176</f>
        <v>-565.29117950005457</v>
      </c>
      <c r="G177" s="184">
        <f t="shared" ref="G177:P177" si="126">G39-G176</f>
        <v>20476.64521912497</v>
      </c>
      <c r="H177" s="184">
        <f t="shared" si="126"/>
        <v>23580.404570968472</v>
      </c>
      <c r="I177" s="184">
        <f t="shared" si="126"/>
        <v>28028.459256282309</v>
      </c>
      <c r="J177" s="184">
        <f t="shared" si="126"/>
        <v>34466.547024598462</v>
      </c>
      <c r="K177" s="184">
        <f t="shared" si="126"/>
        <v>49735.060290877358</v>
      </c>
      <c r="L177" s="184">
        <f t="shared" si="126"/>
        <v>57837.308053353336</v>
      </c>
      <c r="M177" s="184">
        <f t="shared" si="126"/>
        <v>18103.132492374862</v>
      </c>
      <c r="N177" s="184">
        <f t="shared" si="126"/>
        <v>15604.876318361145</v>
      </c>
      <c r="O177" s="184">
        <f t="shared" si="126"/>
        <v>30436.261126797879</v>
      </c>
      <c r="P177" s="184">
        <f t="shared" si="126"/>
        <v>46165.820986885345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7">E3</f>
        <v>FY 2018-2019</v>
      </c>
      <c r="F179" s="3" t="str">
        <f t="shared" si="127"/>
        <v>FY 2019-2020</v>
      </c>
      <c r="G179" s="3" t="str">
        <f t="shared" si="127"/>
        <v>FY 2020-2021</v>
      </c>
      <c r="H179" s="3" t="str">
        <f t="shared" si="127"/>
        <v>FY 2021-2022</v>
      </c>
      <c r="I179" s="3" t="str">
        <f t="shared" si="127"/>
        <v>FY 2022-2023</v>
      </c>
      <c r="J179" s="3" t="str">
        <f t="shared" si="127"/>
        <v>FY 2023-2024</v>
      </c>
      <c r="K179" s="3" t="str">
        <f t="shared" si="127"/>
        <v>FY 2024-2025</v>
      </c>
      <c r="L179" s="3" t="str">
        <f t="shared" si="127"/>
        <v>FY 2025-2026</v>
      </c>
      <c r="M179" s="3" t="str">
        <f t="shared" si="127"/>
        <v>FY 2026-2027</v>
      </c>
      <c r="N179" s="3" t="str">
        <f t="shared" si="127"/>
        <v>FY 2027-2028</v>
      </c>
      <c r="O179" s="3" t="str">
        <f t="shared" si="127"/>
        <v>FY 2027-2028</v>
      </c>
      <c r="P179" s="3" t="str">
        <f t="shared" si="127"/>
        <v>FY 2028-2029</v>
      </c>
    </row>
    <row r="180" spans="1:16" s="2" customFormat="1" x14ac:dyDescent="0.25">
      <c r="C180" s="2">
        <v>11</v>
      </c>
      <c r="E180" s="133">
        <f>Assumptions!E33</f>
        <v>50</v>
      </c>
      <c r="F180" s="133">
        <f>Assumptions!F33</f>
        <v>60</v>
      </c>
      <c r="G180" s="133">
        <f>Assumptions!G33</f>
        <v>70</v>
      </c>
      <c r="H180" s="133">
        <f>Assumptions!H33</f>
        <v>70</v>
      </c>
      <c r="I180" s="133">
        <f>Assumptions!I33</f>
        <v>70</v>
      </c>
      <c r="J180" s="133">
        <f>Assumptions!J33</f>
        <v>80</v>
      </c>
      <c r="K180" s="133">
        <f>Assumptions!K33</f>
        <v>80</v>
      </c>
      <c r="L180" s="133">
        <f>Assumptions!L33</f>
        <v>80</v>
      </c>
      <c r="M180" s="133">
        <f>Assumptions!M33</f>
        <v>90</v>
      </c>
      <c r="N180" s="133">
        <f>Assumptions!N33</f>
        <v>90</v>
      </c>
      <c r="O180" s="133">
        <f>Assumptions!O33</f>
        <v>100</v>
      </c>
      <c r="P180" s="133">
        <f>Assumptions!P33</f>
        <v>100</v>
      </c>
    </row>
    <row r="181" spans="1:16" s="2" customFormat="1" x14ac:dyDescent="0.25">
      <c r="C181" s="2">
        <v>12</v>
      </c>
      <c r="E181" s="197">
        <f>Assumptions!E34</f>
        <v>35</v>
      </c>
      <c r="F181" s="197">
        <f>Assumptions!F34</f>
        <v>50</v>
      </c>
      <c r="G181" s="197">
        <f>Assumptions!G34</f>
        <v>50</v>
      </c>
      <c r="H181" s="197">
        <f>Assumptions!H34</f>
        <v>56</v>
      </c>
      <c r="I181" s="197">
        <f>Assumptions!I34</f>
        <v>62</v>
      </c>
      <c r="J181" s="197">
        <f>Assumptions!J34</f>
        <v>59</v>
      </c>
      <c r="K181" s="197">
        <f>Assumptions!K34</f>
        <v>66</v>
      </c>
      <c r="L181" s="197">
        <f>Assumptions!L34</f>
        <v>73</v>
      </c>
      <c r="M181" s="197">
        <f>Assumptions!M34</f>
        <v>71</v>
      </c>
      <c r="N181" s="197">
        <f>Assumptions!N34</f>
        <v>79</v>
      </c>
      <c r="O181" s="197">
        <f>Assumptions!O34</f>
        <v>77</v>
      </c>
      <c r="P181" s="197">
        <f>Assumptions!P34</f>
        <v>86</v>
      </c>
    </row>
    <row r="182" spans="1:16" s="2" customFormat="1" x14ac:dyDescent="0.25">
      <c r="E182" s="113">
        <f t="shared" ref="E182:P182" si="128">SUM(E180:E181)</f>
        <v>85</v>
      </c>
      <c r="F182" s="113">
        <f t="shared" si="128"/>
        <v>110</v>
      </c>
      <c r="G182" s="113">
        <f t="shared" si="128"/>
        <v>120</v>
      </c>
      <c r="H182" s="113">
        <f t="shared" si="128"/>
        <v>126</v>
      </c>
      <c r="I182" s="113">
        <f t="shared" si="128"/>
        <v>132</v>
      </c>
      <c r="J182" s="113">
        <f t="shared" si="128"/>
        <v>139</v>
      </c>
      <c r="K182" s="113">
        <f t="shared" si="128"/>
        <v>146</v>
      </c>
      <c r="L182" s="113">
        <f t="shared" si="128"/>
        <v>153</v>
      </c>
      <c r="M182" s="113">
        <f t="shared" si="128"/>
        <v>161</v>
      </c>
      <c r="N182" s="113">
        <f t="shared" si="128"/>
        <v>169</v>
      </c>
      <c r="O182" s="113">
        <f t="shared" si="128"/>
        <v>177</v>
      </c>
      <c r="P182" s="113">
        <f t="shared" si="128"/>
        <v>186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2</v>
      </c>
      <c r="F185" s="2">
        <f t="shared" ref="F185:P185" si="129">ROUND(F182*$D185,0)</f>
        <v>2</v>
      </c>
      <c r="G185" s="2">
        <f t="shared" si="129"/>
        <v>2</v>
      </c>
      <c r="H185" s="2">
        <f t="shared" si="129"/>
        <v>3</v>
      </c>
      <c r="I185" s="2">
        <f t="shared" si="129"/>
        <v>3</v>
      </c>
      <c r="J185" s="2">
        <f t="shared" si="129"/>
        <v>3</v>
      </c>
      <c r="K185" s="2">
        <f t="shared" si="129"/>
        <v>3</v>
      </c>
      <c r="L185" s="2">
        <f t="shared" si="129"/>
        <v>3</v>
      </c>
      <c r="M185" s="2">
        <f t="shared" si="129"/>
        <v>3</v>
      </c>
      <c r="N185" s="2">
        <f t="shared" si="129"/>
        <v>3</v>
      </c>
      <c r="O185" s="2">
        <f t="shared" si="129"/>
        <v>4</v>
      </c>
      <c r="P185" s="2">
        <f t="shared" si="129"/>
        <v>4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30">E3</f>
        <v>FY 2018-2019</v>
      </c>
      <c r="F187" s="3" t="str">
        <f t="shared" si="130"/>
        <v>FY 2019-2020</v>
      </c>
      <c r="G187" s="3" t="str">
        <f t="shared" si="130"/>
        <v>FY 2020-2021</v>
      </c>
      <c r="H187" s="3" t="str">
        <f t="shared" si="130"/>
        <v>FY 2021-2022</v>
      </c>
      <c r="I187" s="3" t="str">
        <f t="shared" si="130"/>
        <v>FY 2022-2023</v>
      </c>
      <c r="J187" s="3" t="str">
        <f t="shared" si="130"/>
        <v>FY 2023-2024</v>
      </c>
      <c r="K187" s="3" t="str">
        <f t="shared" si="130"/>
        <v>FY 2024-2025</v>
      </c>
      <c r="L187" s="3" t="str">
        <f t="shared" si="130"/>
        <v>FY 2025-2026</v>
      </c>
      <c r="M187" s="3" t="str">
        <f t="shared" si="130"/>
        <v>FY 2026-2027</v>
      </c>
      <c r="N187" s="3" t="str">
        <f t="shared" si="130"/>
        <v>FY 2027-2028</v>
      </c>
      <c r="O187" s="3" t="str">
        <f t="shared" si="130"/>
        <v>FY 2027-2028</v>
      </c>
      <c r="P187" s="3" t="str">
        <f t="shared" si="130"/>
        <v>FY 2028-2029</v>
      </c>
    </row>
    <row r="188" spans="1:16" s="2" customFormat="1" x14ac:dyDescent="0.25">
      <c r="A188" s="2" t="s">
        <v>401</v>
      </c>
      <c r="B188" s="7" t="s">
        <v>410</v>
      </c>
      <c r="C188" s="219"/>
      <c r="D188" s="217"/>
      <c r="E188" s="309">
        <v>0</v>
      </c>
      <c r="F188" s="309">
        <v>0</v>
      </c>
      <c r="G188" s="309">
        <v>0</v>
      </c>
      <c r="H188" s="309">
        <v>0</v>
      </c>
      <c r="I188" s="309">
        <v>0</v>
      </c>
      <c r="J188" s="309">
        <v>0</v>
      </c>
      <c r="K188" s="309">
        <v>0</v>
      </c>
      <c r="L188" s="309">
        <v>0</v>
      </c>
      <c r="M188" s="309">
        <v>0.5</v>
      </c>
      <c r="N188" s="309">
        <v>0.5</v>
      </c>
      <c r="O188" s="309">
        <v>0.5</v>
      </c>
      <c r="P188" s="309">
        <v>0.5</v>
      </c>
    </row>
    <row r="189" spans="1:16" s="2" customFormat="1" x14ac:dyDescent="0.25">
      <c r="A189" s="2" t="s">
        <v>404</v>
      </c>
      <c r="B189" s="7" t="s">
        <v>411</v>
      </c>
      <c r="C189" s="219"/>
      <c r="D189" s="216"/>
      <c r="E189" s="309">
        <v>1</v>
      </c>
      <c r="F189" s="309">
        <v>1</v>
      </c>
      <c r="G189" s="309">
        <v>1</v>
      </c>
      <c r="H189" s="309">
        <v>1</v>
      </c>
      <c r="I189" s="309">
        <v>1</v>
      </c>
      <c r="J189" s="309">
        <v>1</v>
      </c>
      <c r="K189" s="309">
        <v>1</v>
      </c>
      <c r="L189" s="309">
        <v>1</v>
      </c>
      <c r="M189" s="309">
        <v>1</v>
      </c>
      <c r="N189" s="309">
        <v>1</v>
      </c>
      <c r="O189" s="309">
        <v>1</v>
      </c>
      <c r="P189" s="309"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309">
        <v>0</v>
      </c>
      <c r="F190" s="309">
        <v>1</v>
      </c>
      <c r="G190" s="309">
        <v>1</v>
      </c>
      <c r="H190" s="309">
        <v>1</v>
      </c>
      <c r="I190" s="113">
        <f t="shared" ref="I190:I196" si="131">H190</f>
        <v>1</v>
      </c>
      <c r="J190" s="113">
        <f t="shared" ref="J190:J196" si="132">I190</f>
        <v>1</v>
      </c>
      <c r="K190" s="113">
        <f t="shared" ref="K190:K196" si="133">J190</f>
        <v>1</v>
      </c>
      <c r="L190" s="113">
        <f t="shared" ref="L190:L196" si="134">K190</f>
        <v>1</v>
      </c>
      <c r="M190" s="113">
        <f t="shared" ref="M190:M196" si="135">L190</f>
        <v>1</v>
      </c>
      <c r="N190" s="113">
        <f t="shared" ref="N190:N196" si="136">M190</f>
        <v>1</v>
      </c>
      <c r="O190" s="113">
        <f t="shared" ref="O190:O196" si="137">N190</f>
        <v>1</v>
      </c>
      <c r="P190" s="113">
        <f t="shared" ref="P190:P196" si="138">O190</f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309">
        <v>1</v>
      </c>
      <c r="F191" s="309">
        <v>1</v>
      </c>
      <c r="G191" s="309">
        <v>1</v>
      </c>
      <c r="H191" s="2">
        <f>G191</f>
        <v>1</v>
      </c>
      <c r="I191" s="113">
        <f t="shared" si="131"/>
        <v>1</v>
      </c>
      <c r="J191" s="113">
        <f t="shared" si="132"/>
        <v>1</v>
      </c>
      <c r="K191" s="113">
        <f t="shared" si="133"/>
        <v>1</v>
      </c>
      <c r="L191" s="113">
        <f t="shared" si="134"/>
        <v>1</v>
      </c>
      <c r="M191" s="113">
        <f t="shared" si="135"/>
        <v>1</v>
      </c>
      <c r="N191" s="113">
        <f t="shared" si="136"/>
        <v>1</v>
      </c>
      <c r="O191" s="113">
        <f t="shared" si="137"/>
        <v>1</v>
      </c>
      <c r="P191" s="113">
        <f t="shared" si="138"/>
        <v>1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309">
        <v>0</v>
      </c>
      <c r="F192" s="309">
        <v>0</v>
      </c>
      <c r="G192" s="309">
        <v>0</v>
      </c>
      <c r="H192" s="113">
        <f>G192</f>
        <v>0</v>
      </c>
      <c r="I192" s="113">
        <f t="shared" si="131"/>
        <v>0</v>
      </c>
      <c r="J192" s="113">
        <f t="shared" si="132"/>
        <v>0</v>
      </c>
      <c r="K192" s="113">
        <f t="shared" si="133"/>
        <v>0</v>
      </c>
      <c r="L192" s="113">
        <f t="shared" si="134"/>
        <v>0</v>
      </c>
      <c r="M192" s="113">
        <f t="shared" si="135"/>
        <v>0</v>
      </c>
      <c r="N192" s="113">
        <f t="shared" si="136"/>
        <v>0</v>
      </c>
      <c r="O192" s="113">
        <f t="shared" si="137"/>
        <v>0</v>
      </c>
      <c r="P192" s="113">
        <f t="shared" si="138"/>
        <v>0</v>
      </c>
    </row>
    <row r="193" spans="1:16" s="2" customFormat="1" x14ac:dyDescent="0.25">
      <c r="A193" s="2">
        <v>6127</v>
      </c>
      <c r="B193" s="13" t="s">
        <v>533</v>
      </c>
      <c r="C193" s="221"/>
      <c r="D193" s="216"/>
      <c r="E193" s="309">
        <v>0</v>
      </c>
      <c r="F193" s="309">
        <v>0</v>
      </c>
      <c r="G193" s="309">
        <v>0</v>
      </c>
      <c r="H193" s="113">
        <f>G193</f>
        <v>0</v>
      </c>
      <c r="I193" s="113">
        <f t="shared" si="131"/>
        <v>0</v>
      </c>
      <c r="J193" s="113">
        <f t="shared" si="132"/>
        <v>0</v>
      </c>
      <c r="K193" s="113">
        <f t="shared" si="133"/>
        <v>0</v>
      </c>
      <c r="L193" s="113">
        <f t="shared" si="134"/>
        <v>0</v>
      </c>
      <c r="M193" s="113">
        <f t="shared" si="135"/>
        <v>0</v>
      </c>
      <c r="N193" s="113">
        <f t="shared" si="136"/>
        <v>0</v>
      </c>
      <c r="O193" s="113">
        <f t="shared" si="137"/>
        <v>0</v>
      </c>
      <c r="P193" s="113">
        <f t="shared" si="138"/>
        <v>0</v>
      </c>
    </row>
    <row r="194" spans="1:16" s="2" customFormat="1" x14ac:dyDescent="0.25">
      <c r="A194" s="2">
        <v>6127</v>
      </c>
      <c r="B194" s="13" t="s">
        <v>534</v>
      </c>
      <c r="C194" s="221"/>
      <c r="D194" s="216"/>
      <c r="E194" s="309">
        <v>0</v>
      </c>
      <c r="F194" s="309">
        <v>0</v>
      </c>
      <c r="G194" s="309">
        <v>0</v>
      </c>
      <c r="H194" s="113">
        <f>G194</f>
        <v>0</v>
      </c>
      <c r="I194" s="113">
        <f t="shared" si="131"/>
        <v>0</v>
      </c>
      <c r="J194" s="113">
        <f t="shared" si="132"/>
        <v>0</v>
      </c>
      <c r="K194" s="113">
        <f t="shared" si="133"/>
        <v>0</v>
      </c>
      <c r="L194" s="113">
        <f t="shared" si="134"/>
        <v>0</v>
      </c>
      <c r="M194" s="113">
        <f t="shared" si="135"/>
        <v>0</v>
      </c>
      <c r="N194" s="113">
        <f t="shared" si="136"/>
        <v>0</v>
      </c>
      <c r="O194" s="113">
        <f t="shared" si="137"/>
        <v>0</v>
      </c>
      <c r="P194" s="113">
        <f t="shared" si="138"/>
        <v>0</v>
      </c>
    </row>
    <row r="195" spans="1:16" s="2" customFormat="1" x14ac:dyDescent="0.25">
      <c r="A195" s="2">
        <v>6127</v>
      </c>
      <c r="B195" s="7" t="s">
        <v>540</v>
      </c>
      <c r="C195" s="219"/>
      <c r="D195" s="216"/>
      <c r="E195" s="310">
        <v>0</v>
      </c>
      <c r="F195" s="310">
        <v>0</v>
      </c>
      <c r="G195" s="310">
        <v>0</v>
      </c>
      <c r="H195" s="310">
        <v>0</v>
      </c>
      <c r="I195" s="113">
        <f t="shared" si="131"/>
        <v>0</v>
      </c>
      <c r="J195" s="113">
        <f t="shared" si="132"/>
        <v>0</v>
      </c>
      <c r="K195" s="113">
        <f t="shared" si="133"/>
        <v>0</v>
      </c>
      <c r="L195" s="113">
        <f t="shared" si="134"/>
        <v>0</v>
      </c>
      <c r="M195" s="113">
        <f t="shared" si="135"/>
        <v>0</v>
      </c>
      <c r="N195" s="113">
        <f t="shared" si="136"/>
        <v>0</v>
      </c>
      <c r="O195" s="113">
        <f t="shared" si="137"/>
        <v>0</v>
      </c>
      <c r="P195" s="113">
        <f t="shared" si="138"/>
        <v>0</v>
      </c>
    </row>
    <row r="196" spans="1:16" s="2" customFormat="1" x14ac:dyDescent="0.25">
      <c r="B196" s="7" t="s">
        <v>400</v>
      </c>
      <c r="C196" s="219"/>
      <c r="D196" s="216"/>
      <c r="E196" s="311">
        <v>0</v>
      </c>
      <c r="F196" s="311">
        <v>0</v>
      </c>
      <c r="G196" s="311">
        <v>0</v>
      </c>
      <c r="H196" s="182">
        <f>G196</f>
        <v>0</v>
      </c>
      <c r="I196" s="182">
        <f t="shared" si="131"/>
        <v>0</v>
      </c>
      <c r="J196" s="182">
        <f t="shared" si="132"/>
        <v>0</v>
      </c>
      <c r="K196" s="182">
        <f t="shared" si="133"/>
        <v>0</v>
      </c>
      <c r="L196" s="182">
        <f t="shared" si="134"/>
        <v>0</v>
      </c>
      <c r="M196" s="182">
        <f t="shared" si="135"/>
        <v>0</v>
      </c>
      <c r="N196" s="182">
        <f t="shared" si="136"/>
        <v>0</v>
      </c>
      <c r="O196" s="182">
        <f t="shared" si="137"/>
        <v>0</v>
      </c>
      <c r="P196" s="182">
        <f t="shared" si="138"/>
        <v>0</v>
      </c>
    </row>
    <row r="197" spans="1:16" s="23" customFormat="1" x14ac:dyDescent="0.25">
      <c r="C197" s="78"/>
      <c r="D197" s="78"/>
      <c r="E197" s="23">
        <f>SUM(E188:E195)</f>
        <v>2</v>
      </c>
      <c r="F197" s="23">
        <f t="shared" ref="F197:P197" si="139">SUM(F188:F195)</f>
        <v>3</v>
      </c>
      <c r="G197" s="23">
        <f t="shared" si="139"/>
        <v>3</v>
      </c>
      <c r="H197" s="23">
        <f t="shared" si="139"/>
        <v>3</v>
      </c>
      <c r="I197" s="23">
        <f t="shared" si="139"/>
        <v>3</v>
      </c>
      <c r="J197" s="23">
        <f t="shared" si="139"/>
        <v>3</v>
      </c>
      <c r="K197" s="23">
        <f t="shared" si="139"/>
        <v>3</v>
      </c>
      <c r="L197" s="23">
        <f t="shared" si="139"/>
        <v>3</v>
      </c>
      <c r="M197" s="23">
        <f t="shared" si="139"/>
        <v>3.5</v>
      </c>
      <c r="N197" s="23">
        <f t="shared" si="139"/>
        <v>3.5</v>
      </c>
      <c r="O197" s="23">
        <f t="shared" si="139"/>
        <v>3.5</v>
      </c>
      <c r="P197" s="23">
        <f t="shared" si="139"/>
        <v>3.5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0</v>
      </c>
      <c r="F199" s="191">
        <f t="shared" ref="F199:P199" si="140">SUMIFS(F$188:F$195,$A$188:$A$195,$A188)</f>
        <v>0</v>
      </c>
      <c r="G199" s="191">
        <f t="shared" si="140"/>
        <v>0</v>
      </c>
      <c r="H199" s="191">
        <f t="shared" si="140"/>
        <v>0</v>
      </c>
      <c r="I199" s="191">
        <f t="shared" si="140"/>
        <v>0</v>
      </c>
      <c r="J199" s="191">
        <f t="shared" si="140"/>
        <v>0</v>
      </c>
      <c r="K199" s="191">
        <f t="shared" si="140"/>
        <v>0</v>
      </c>
      <c r="L199" s="191">
        <f t="shared" si="140"/>
        <v>0</v>
      </c>
      <c r="M199" s="191">
        <f t="shared" si="140"/>
        <v>0.5</v>
      </c>
      <c r="N199" s="191">
        <f t="shared" si="140"/>
        <v>0.5</v>
      </c>
      <c r="O199" s="191">
        <f t="shared" si="140"/>
        <v>0.5</v>
      </c>
      <c r="P199" s="191">
        <f t="shared" si="140"/>
        <v>0.5</v>
      </c>
    </row>
    <row r="200" spans="1:16" s="23" customFormat="1" x14ac:dyDescent="0.25">
      <c r="A200" s="7" t="s">
        <v>9</v>
      </c>
      <c r="B200" s="25"/>
      <c r="E200" s="23">
        <f>SUM(E199:E199)</f>
        <v>0</v>
      </c>
      <c r="F200" s="23">
        <f t="shared" ref="F200:P200" si="141">SUM(F199:F199)</f>
        <v>0</v>
      </c>
      <c r="G200" s="23">
        <f t="shared" si="141"/>
        <v>0</v>
      </c>
      <c r="H200" s="23">
        <f t="shared" si="141"/>
        <v>0</v>
      </c>
      <c r="I200" s="23">
        <f t="shared" si="141"/>
        <v>0</v>
      </c>
      <c r="J200" s="23">
        <f t="shared" si="141"/>
        <v>0</v>
      </c>
      <c r="K200" s="23">
        <f t="shared" si="141"/>
        <v>0</v>
      </c>
      <c r="L200" s="23">
        <f t="shared" si="141"/>
        <v>0</v>
      </c>
      <c r="M200" s="23">
        <f t="shared" si="141"/>
        <v>0.5</v>
      </c>
      <c r="N200" s="23">
        <f t="shared" si="141"/>
        <v>0.5</v>
      </c>
      <c r="O200" s="23">
        <f t="shared" si="141"/>
        <v>0.5</v>
      </c>
      <c r="P200" s="23">
        <f t="shared" si="141"/>
        <v>0.5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1</v>
      </c>
      <c r="F202" s="17">
        <f t="shared" ref="F202:P202" si="142">SUMIFS(F188:F196,$A188:$A196,$A191)</f>
        <v>1</v>
      </c>
      <c r="G202" s="17">
        <f t="shared" si="142"/>
        <v>1</v>
      </c>
      <c r="H202" s="17">
        <f t="shared" si="142"/>
        <v>1</v>
      </c>
      <c r="I202" s="17">
        <f t="shared" si="142"/>
        <v>1</v>
      </c>
      <c r="J202" s="17">
        <f t="shared" si="142"/>
        <v>1</v>
      </c>
      <c r="K202" s="17">
        <f t="shared" si="142"/>
        <v>1</v>
      </c>
      <c r="L202" s="17">
        <f t="shared" si="142"/>
        <v>1</v>
      </c>
      <c r="M202" s="17">
        <f t="shared" si="142"/>
        <v>1</v>
      </c>
      <c r="N202" s="17">
        <f t="shared" si="142"/>
        <v>1</v>
      </c>
      <c r="O202" s="17">
        <f t="shared" si="142"/>
        <v>1</v>
      </c>
      <c r="P202" s="17">
        <f t="shared" si="142"/>
        <v>1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1</v>
      </c>
      <c r="F203" s="17">
        <f t="shared" ref="F203:P203" si="143">SUMIFS(F189:F197,$A189:$A197,$A189)</f>
        <v>1</v>
      </c>
      <c r="G203" s="17">
        <f t="shared" si="143"/>
        <v>1</v>
      </c>
      <c r="H203" s="17">
        <f t="shared" si="143"/>
        <v>1</v>
      </c>
      <c r="I203" s="17">
        <f t="shared" si="143"/>
        <v>1</v>
      </c>
      <c r="J203" s="17">
        <f t="shared" si="143"/>
        <v>1</v>
      </c>
      <c r="K203" s="17">
        <f t="shared" si="143"/>
        <v>1</v>
      </c>
      <c r="L203" s="17">
        <f t="shared" si="143"/>
        <v>1</v>
      </c>
      <c r="M203" s="17">
        <f t="shared" si="143"/>
        <v>1</v>
      </c>
      <c r="N203" s="17">
        <f t="shared" si="143"/>
        <v>1</v>
      </c>
      <c r="O203" s="17">
        <f t="shared" si="143"/>
        <v>1</v>
      </c>
      <c r="P203" s="17">
        <f t="shared" si="143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0</v>
      </c>
      <c r="F204" s="119">
        <f t="shared" ref="F204:P204" si="144">F197-F200-F202-F203</f>
        <v>1</v>
      </c>
      <c r="G204" s="119">
        <f t="shared" si="144"/>
        <v>1</v>
      </c>
      <c r="H204" s="119">
        <f t="shared" si="144"/>
        <v>1</v>
      </c>
      <c r="I204" s="119">
        <f t="shared" si="144"/>
        <v>1</v>
      </c>
      <c r="J204" s="119">
        <f t="shared" si="144"/>
        <v>1</v>
      </c>
      <c r="K204" s="119">
        <f t="shared" si="144"/>
        <v>1</v>
      </c>
      <c r="L204" s="119">
        <f t="shared" si="144"/>
        <v>1</v>
      </c>
      <c r="M204" s="119">
        <f t="shared" si="144"/>
        <v>1</v>
      </c>
      <c r="N204" s="119">
        <f t="shared" si="144"/>
        <v>1</v>
      </c>
      <c r="O204" s="119">
        <f t="shared" si="144"/>
        <v>1</v>
      </c>
      <c r="P204" s="119">
        <f t="shared" si="144"/>
        <v>1</v>
      </c>
    </row>
    <row r="205" spans="1:16" s="2" customFormat="1" x14ac:dyDescent="0.25">
      <c r="A205" s="8" t="s">
        <v>11</v>
      </c>
      <c r="E205" s="17">
        <f>SUM(E200:E204)</f>
        <v>2</v>
      </c>
      <c r="F205" s="17">
        <f t="shared" ref="F205:P205" si="145">SUM(F200:F204)</f>
        <v>3</v>
      </c>
      <c r="G205" s="17">
        <f t="shared" si="145"/>
        <v>3</v>
      </c>
      <c r="H205" s="17">
        <f t="shared" si="145"/>
        <v>3</v>
      </c>
      <c r="I205" s="17">
        <f t="shared" si="145"/>
        <v>3</v>
      </c>
      <c r="J205" s="17">
        <f t="shared" si="145"/>
        <v>3</v>
      </c>
      <c r="K205" s="17">
        <f t="shared" si="145"/>
        <v>3</v>
      </c>
      <c r="L205" s="17">
        <f t="shared" si="145"/>
        <v>3</v>
      </c>
      <c r="M205" s="17">
        <f t="shared" si="145"/>
        <v>3.5</v>
      </c>
      <c r="N205" s="17">
        <f t="shared" si="145"/>
        <v>3.5</v>
      </c>
      <c r="O205" s="17">
        <f t="shared" si="145"/>
        <v>3.5</v>
      </c>
      <c r="P205" s="17">
        <f t="shared" si="145"/>
        <v>3.5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22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7" si="146">A188</f>
        <v>6111EE</v>
      </c>
      <c r="B209" s="2" t="str">
        <f t="shared" si="146"/>
        <v>Educational Advising Coordinator (PERS = EE)</v>
      </c>
      <c r="C209" s="123"/>
      <c r="D209" s="85">
        <v>55000</v>
      </c>
      <c r="E209" s="10">
        <f t="shared" ref="E209:E217" si="147">E188*$D209*(1+E$5)</f>
        <v>0</v>
      </c>
      <c r="F209" s="10">
        <f t="shared" ref="F209:P209" si="148">F188*$D209*(1+F$5)</f>
        <v>0</v>
      </c>
      <c r="G209" s="10">
        <f t="shared" si="148"/>
        <v>0</v>
      </c>
      <c r="H209" s="10">
        <f t="shared" si="148"/>
        <v>0</v>
      </c>
      <c r="I209" s="10">
        <f t="shared" si="148"/>
        <v>0</v>
      </c>
      <c r="J209" s="10">
        <f t="shared" si="148"/>
        <v>0</v>
      </c>
      <c r="K209" s="10">
        <f t="shared" si="148"/>
        <v>0</v>
      </c>
      <c r="L209" s="10">
        <f t="shared" si="148"/>
        <v>0</v>
      </c>
      <c r="M209" s="10">
        <f t="shared" si="148"/>
        <v>31899.999999999996</v>
      </c>
      <c r="N209" s="10">
        <f t="shared" si="148"/>
        <v>32450</v>
      </c>
      <c r="O209" s="10">
        <f t="shared" si="148"/>
        <v>33000</v>
      </c>
      <c r="P209" s="10">
        <f t="shared" si="148"/>
        <v>33550</v>
      </c>
    </row>
    <row r="210" spans="1:17" s="2" customFormat="1" x14ac:dyDescent="0.25">
      <c r="A210" s="2" t="str">
        <f>A189</f>
        <v>6114ER</v>
      </c>
      <c r="B210" s="2" t="str">
        <f t="shared" si="146"/>
        <v>Director of Site Administration (PERS = ER)</v>
      </c>
      <c r="C210" s="123"/>
      <c r="D210" s="85">
        <v>85000</v>
      </c>
      <c r="E210" s="10">
        <f t="shared" si="147"/>
        <v>85000</v>
      </c>
      <c r="F210" s="10">
        <f t="shared" ref="F210:P210" si="149">F189*$D210*(1+F$5)</f>
        <v>86700</v>
      </c>
      <c r="G210" s="10">
        <f t="shared" si="149"/>
        <v>88400</v>
      </c>
      <c r="H210" s="10">
        <f t="shared" si="149"/>
        <v>90100</v>
      </c>
      <c r="I210" s="10">
        <f t="shared" si="149"/>
        <v>91800</v>
      </c>
      <c r="J210" s="10">
        <f t="shared" si="149"/>
        <v>93500.000000000015</v>
      </c>
      <c r="K210" s="10">
        <f t="shared" si="149"/>
        <v>95200.000000000015</v>
      </c>
      <c r="L210" s="10">
        <f t="shared" si="149"/>
        <v>96900.000000000015</v>
      </c>
      <c r="M210" s="10">
        <f t="shared" si="149"/>
        <v>98600</v>
      </c>
      <c r="N210" s="10">
        <f t="shared" si="149"/>
        <v>100300</v>
      </c>
      <c r="O210" s="10">
        <f t="shared" si="149"/>
        <v>102000</v>
      </c>
      <c r="P210" s="10">
        <f t="shared" si="149"/>
        <v>103700</v>
      </c>
    </row>
    <row r="211" spans="1:17" s="2" customFormat="1" x14ac:dyDescent="0.25">
      <c r="A211" s="2" t="str">
        <f t="shared" si="146"/>
        <v>6117EE</v>
      </c>
      <c r="B211" s="2" t="str">
        <f>B190</f>
        <v>Office Manager (PERS = EE)</v>
      </c>
      <c r="C211" s="123"/>
      <c r="D211" s="85">
        <v>40000</v>
      </c>
      <c r="E211" s="10">
        <f t="shared" si="147"/>
        <v>0</v>
      </c>
      <c r="F211" s="10">
        <f t="shared" ref="F211:P211" si="150">F190*$D211*(1+F$5)</f>
        <v>40800</v>
      </c>
      <c r="G211" s="10">
        <f t="shared" si="150"/>
        <v>41600</v>
      </c>
      <c r="H211" s="10">
        <f t="shared" si="150"/>
        <v>42400</v>
      </c>
      <c r="I211" s="10">
        <f t="shared" si="150"/>
        <v>43200</v>
      </c>
      <c r="J211" s="10">
        <f t="shared" si="150"/>
        <v>44000</v>
      </c>
      <c r="K211" s="10">
        <f t="shared" si="150"/>
        <v>44800.000000000007</v>
      </c>
      <c r="L211" s="10">
        <f t="shared" si="150"/>
        <v>45600.000000000007</v>
      </c>
      <c r="M211" s="10">
        <f t="shared" si="150"/>
        <v>46400</v>
      </c>
      <c r="N211" s="10">
        <f t="shared" si="150"/>
        <v>47200</v>
      </c>
      <c r="O211" s="10">
        <f t="shared" si="150"/>
        <v>48000</v>
      </c>
      <c r="P211" s="10">
        <f t="shared" si="150"/>
        <v>48800</v>
      </c>
    </row>
    <row r="212" spans="1:17" s="2" customFormat="1" x14ac:dyDescent="0.25">
      <c r="A212" s="2">
        <f t="shared" si="146"/>
        <v>6127</v>
      </c>
      <c r="B212" s="2" t="str">
        <f t="shared" si="146"/>
        <v>Student Worker #1</v>
      </c>
      <c r="C212" s="164" t="s">
        <v>759</v>
      </c>
      <c r="D212" s="85">
        <v>8840</v>
      </c>
      <c r="E212" s="10">
        <f t="shared" si="147"/>
        <v>8840</v>
      </c>
      <c r="F212" s="10">
        <f t="shared" ref="F212:P212" si="151">F191*$D212*(1+F$5)</f>
        <v>9016.7999999999993</v>
      </c>
      <c r="G212" s="10">
        <f t="shared" si="151"/>
        <v>9193.6</v>
      </c>
      <c r="H212" s="10">
        <f t="shared" si="151"/>
        <v>9370.4</v>
      </c>
      <c r="I212" s="10">
        <f t="shared" si="151"/>
        <v>9547.2000000000007</v>
      </c>
      <c r="J212" s="10">
        <f t="shared" si="151"/>
        <v>9724</v>
      </c>
      <c r="K212" s="10">
        <f t="shared" si="151"/>
        <v>9900.8000000000011</v>
      </c>
      <c r="L212" s="10">
        <f t="shared" si="151"/>
        <v>10077.6</v>
      </c>
      <c r="M212" s="10">
        <f t="shared" si="151"/>
        <v>10254.4</v>
      </c>
      <c r="N212" s="10">
        <f t="shared" si="151"/>
        <v>10431.199999999999</v>
      </c>
      <c r="O212" s="10">
        <f t="shared" si="151"/>
        <v>10608</v>
      </c>
      <c r="P212" s="10">
        <f t="shared" si="151"/>
        <v>10784.8</v>
      </c>
    </row>
    <row r="213" spans="1:17" s="2" customFormat="1" x14ac:dyDescent="0.25">
      <c r="A213" s="2">
        <f t="shared" si="146"/>
        <v>6127</v>
      </c>
      <c r="B213" s="2" t="str">
        <f t="shared" si="146"/>
        <v>Student Worker #2</v>
      </c>
      <c r="C213" s="164" t="s">
        <v>760</v>
      </c>
      <c r="D213" s="85">
        <v>2210</v>
      </c>
      <c r="E213" s="10">
        <f t="shared" si="147"/>
        <v>0</v>
      </c>
      <c r="F213" s="10">
        <f t="shared" ref="F213:P213" si="152">F192*$D213*(1+F$5)</f>
        <v>0</v>
      </c>
      <c r="G213" s="10">
        <f t="shared" si="152"/>
        <v>0</v>
      </c>
      <c r="H213" s="10">
        <f t="shared" si="152"/>
        <v>0</v>
      </c>
      <c r="I213" s="10">
        <f t="shared" si="152"/>
        <v>0</v>
      </c>
      <c r="J213" s="10">
        <f t="shared" si="152"/>
        <v>0</v>
      </c>
      <c r="K213" s="10">
        <f t="shared" si="152"/>
        <v>0</v>
      </c>
      <c r="L213" s="10">
        <f t="shared" si="152"/>
        <v>0</v>
      </c>
      <c r="M213" s="10">
        <f t="shared" si="152"/>
        <v>0</v>
      </c>
      <c r="N213" s="10">
        <f t="shared" si="152"/>
        <v>0</v>
      </c>
      <c r="O213" s="10">
        <f t="shared" si="152"/>
        <v>0</v>
      </c>
      <c r="P213" s="10">
        <f t="shared" si="152"/>
        <v>0</v>
      </c>
    </row>
    <row r="214" spans="1:17" x14ac:dyDescent="0.25">
      <c r="A214">
        <f t="shared" si="146"/>
        <v>6127</v>
      </c>
      <c r="B214" t="str">
        <f t="shared" si="146"/>
        <v>Student Worker #3</v>
      </c>
      <c r="C214" s="164" t="s">
        <v>698</v>
      </c>
      <c r="D214" s="85">
        <v>2500</v>
      </c>
      <c r="E214" s="48">
        <f t="shared" si="147"/>
        <v>0</v>
      </c>
      <c r="F214" s="48">
        <f t="shared" ref="F214:P214" si="153">F193*$D214*(1+F$5)</f>
        <v>0</v>
      </c>
      <c r="G214" s="48">
        <f t="shared" si="153"/>
        <v>0</v>
      </c>
      <c r="H214" s="48">
        <f t="shared" si="153"/>
        <v>0</v>
      </c>
      <c r="I214" s="48">
        <f t="shared" si="153"/>
        <v>0</v>
      </c>
      <c r="J214" s="48">
        <f t="shared" si="153"/>
        <v>0</v>
      </c>
      <c r="K214" s="48">
        <f t="shared" si="153"/>
        <v>0</v>
      </c>
      <c r="L214" s="48">
        <f t="shared" si="153"/>
        <v>0</v>
      </c>
      <c r="M214" s="48">
        <f t="shared" si="153"/>
        <v>0</v>
      </c>
      <c r="N214" s="48">
        <f t="shared" si="153"/>
        <v>0</v>
      </c>
      <c r="O214" s="48">
        <f t="shared" si="153"/>
        <v>0</v>
      </c>
      <c r="P214" s="48">
        <f t="shared" si="153"/>
        <v>0</v>
      </c>
    </row>
    <row r="215" spans="1:17" x14ac:dyDescent="0.25">
      <c r="A215">
        <f t="shared" si="146"/>
        <v>6127</v>
      </c>
      <c r="B215" t="str">
        <f t="shared" si="146"/>
        <v>Student Worker #4</v>
      </c>
      <c r="C215" s="123"/>
      <c r="D215" s="85">
        <v>0</v>
      </c>
      <c r="E215" s="75">
        <f t="shared" si="147"/>
        <v>0</v>
      </c>
      <c r="F215" s="75">
        <f t="shared" ref="F215:P215" si="154">F194*$D215*(1+F$5)</f>
        <v>0</v>
      </c>
      <c r="G215" s="75">
        <f t="shared" si="154"/>
        <v>0</v>
      </c>
      <c r="H215" s="75">
        <f t="shared" si="154"/>
        <v>0</v>
      </c>
      <c r="I215" s="75">
        <f t="shared" si="154"/>
        <v>0</v>
      </c>
      <c r="J215" s="75">
        <f t="shared" si="154"/>
        <v>0</v>
      </c>
      <c r="K215" s="75">
        <f t="shared" si="154"/>
        <v>0</v>
      </c>
      <c r="L215" s="75">
        <f t="shared" si="154"/>
        <v>0</v>
      </c>
      <c r="M215" s="75">
        <f t="shared" si="154"/>
        <v>0</v>
      </c>
      <c r="N215" s="75">
        <f t="shared" si="154"/>
        <v>0</v>
      </c>
      <c r="O215" s="75">
        <f t="shared" si="154"/>
        <v>0</v>
      </c>
      <c r="P215" s="75">
        <f t="shared" si="154"/>
        <v>0</v>
      </c>
    </row>
    <row r="216" spans="1:17" x14ac:dyDescent="0.25">
      <c r="A216">
        <f t="shared" si="146"/>
        <v>6127</v>
      </c>
      <c r="B216" t="str">
        <f t="shared" si="146"/>
        <v>Part-time Worker #1</v>
      </c>
      <c r="C216" s="123"/>
      <c r="D216" s="85">
        <v>0</v>
      </c>
      <c r="E216" s="75">
        <f t="shared" si="147"/>
        <v>0</v>
      </c>
      <c r="F216" s="75">
        <f t="shared" ref="F216:P216" si="155">F195*$D216*(1+F$5)</f>
        <v>0</v>
      </c>
      <c r="G216" s="75">
        <f t="shared" si="155"/>
        <v>0</v>
      </c>
      <c r="H216" s="75">
        <f t="shared" si="155"/>
        <v>0</v>
      </c>
      <c r="I216" s="75">
        <f t="shared" si="155"/>
        <v>0</v>
      </c>
      <c r="J216" s="75">
        <f t="shared" si="155"/>
        <v>0</v>
      </c>
      <c r="K216" s="75">
        <f t="shared" si="155"/>
        <v>0</v>
      </c>
      <c r="L216" s="75">
        <f t="shared" si="155"/>
        <v>0</v>
      </c>
      <c r="M216" s="75">
        <f t="shared" si="155"/>
        <v>0</v>
      </c>
      <c r="N216" s="75">
        <f t="shared" si="155"/>
        <v>0</v>
      </c>
      <c r="O216" s="75">
        <f t="shared" si="155"/>
        <v>0</v>
      </c>
      <c r="P216" s="75">
        <f t="shared" si="155"/>
        <v>0</v>
      </c>
    </row>
    <row r="217" spans="1:17" x14ac:dyDescent="0.25">
      <c r="A217">
        <f t="shared" si="146"/>
        <v>0</v>
      </c>
      <c r="B217" s="7" t="s">
        <v>397</v>
      </c>
      <c r="C217" s="76"/>
      <c r="D217" s="85">
        <v>0</v>
      </c>
      <c r="E217" s="49">
        <f t="shared" si="147"/>
        <v>0</v>
      </c>
      <c r="F217" s="49">
        <f t="shared" ref="F217:P217" si="156">F196*$D217*(1+F$5)</f>
        <v>0</v>
      </c>
      <c r="G217" s="49">
        <f t="shared" si="156"/>
        <v>0</v>
      </c>
      <c r="H217" s="49">
        <f t="shared" si="156"/>
        <v>0</v>
      </c>
      <c r="I217" s="49">
        <f t="shared" si="156"/>
        <v>0</v>
      </c>
      <c r="J217" s="49">
        <f t="shared" si="156"/>
        <v>0</v>
      </c>
      <c r="K217" s="49">
        <f t="shared" si="156"/>
        <v>0</v>
      </c>
      <c r="L217" s="49">
        <f t="shared" si="156"/>
        <v>0</v>
      </c>
      <c r="M217" s="49">
        <f t="shared" si="156"/>
        <v>0</v>
      </c>
      <c r="N217" s="49">
        <f t="shared" si="156"/>
        <v>0</v>
      </c>
      <c r="O217" s="49">
        <f t="shared" si="156"/>
        <v>0</v>
      </c>
      <c r="P217" s="49">
        <f t="shared" si="156"/>
        <v>0</v>
      </c>
    </row>
    <row r="218" spans="1:17" x14ac:dyDescent="0.25">
      <c r="C218" s="31"/>
      <c r="E218" s="48">
        <f t="shared" ref="E218:P218" si="157">SUM(E209:E217)</f>
        <v>93840</v>
      </c>
      <c r="F218" s="48">
        <f t="shared" si="157"/>
        <v>136516.79999999999</v>
      </c>
      <c r="G218" s="48">
        <f t="shared" si="157"/>
        <v>139193.60000000001</v>
      </c>
      <c r="H218" s="48">
        <f t="shared" si="157"/>
        <v>141870.39999999999</v>
      </c>
      <c r="I218" s="48">
        <f t="shared" si="157"/>
        <v>144547.20000000001</v>
      </c>
      <c r="J218" s="48">
        <f t="shared" si="157"/>
        <v>147224</v>
      </c>
      <c r="K218" s="48">
        <f t="shared" si="157"/>
        <v>149900.80000000002</v>
      </c>
      <c r="L218" s="48">
        <f t="shared" si="157"/>
        <v>152577.60000000003</v>
      </c>
      <c r="M218" s="48">
        <f t="shared" si="157"/>
        <v>187154.4</v>
      </c>
      <c r="N218" s="48">
        <f t="shared" si="157"/>
        <v>190381.2</v>
      </c>
      <c r="O218" s="48">
        <f t="shared" si="157"/>
        <v>193608</v>
      </c>
      <c r="P218" s="48">
        <f t="shared" si="157"/>
        <v>196834.8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699</v>
      </c>
      <c r="D222" s="2"/>
      <c r="E222" s="12">
        <v>1.6</v>
      </c>
      <c r="F222" s="12">
        <f>E222*1.03</f>
        <v>1.6480000000000001</v>
      </c>
      <c r="G222" s="12">
        <f t="shared" ref="G222:P222" si="158">F222*1.03</f>
        <v>1.6974400000000003</v>
      </c>
      <c r="H222" s="12">
        <f t="shared" si="158"/>
        <v>1.7483632000000002</v>
      </c>
      <c r="I222" s="12">
        <f t="shared" si="158"/>
        <v>1.8008140960000003</v>
      </c>
      <c r="J222" s="12">
        <f t="shared" si="158"/>
        <v>1.8548385188800003</v>
      </c>
      <c r="K222" s="12">
        <f t="shared" si="158"/>
        <v>1.9104836744464004</v>
      </c>
      <c r="L222" s="12">
        <f t="shared" si="158"/>
        <v>1.9677981846797925</v>
      </c>
      <c r="M222" s="12">
        <f t="shared" si="158"/>
        <v>2.0268321302201864</v>
      </c>
      <c r="N222" s="12">
        <f t="shared" si="158"/>
        <v>2.0876370941267921</v>
      </c>
      <c r="O222" s="12">
        <f t="shared" si="158"/>
        <v>2.150266206950596</v>
      </c>
      <c r="P222" s="12">
        <f t="shared" si="158"/>
        <v>2.2147741931591138</v>
      </c>
      <c r="Q222" s="155"/>
    </row>
    <row r="223" spans="1:17" x14ac:dyDescent="0.25">
      <c r="A223" s="16"/>
      <c r="B223" s="2" t="s">
        <v>461</v>
      </c>
      <c r="C223" s="6"/>
      <c r="D223" s="2"/>
      <c r="E223" s="10">
        <v>1250</v>
      </c>
      <c r="F223" s="10">
        <v>1250</v>
      </c>
      <c r="G223" s="10">
        <v>1250</v>
      </c>
      <c r="H223" s="10">
        <v>1250</v>
      </c>
      <c r="I223" s="10">
        <v>1250</v>
      </c>
      <c r="J223" s="10">
        <v>1250</v>
      </c>
      <c r="K223" s="10">
        <v>1250</v>
      </c>
      <c r="L223" s="10">
        <v>1250</v>
      </c>
      <c r="M223" s="10">
        <v>1250</v>
      </c>
      <c r="N223" s="10">
        <v>1250</v>
      </c>
      <c r="O223" s="10">
        <v>1250</v>
      </c>
      <c r="P223" s="10">
        <v>1250</v>
      </c>
      <c r="Q223" s="10"/>
    </row>
    <row r="224" spans="1:17" x14ac:dyDescent="0.25">
      <c r="A224" s="2"/>
      <c r="B224" s="2" t="s">
        <v>462</v>
      </c>
      <c r="C224" s="31"/>
      <c r="E224" s="48">
        <f>E222*E223*12</f>
        <v>24000</v>
      </c>
      <c r="F224" s="48">
        <f>F222*F223*12</f>
        <v>24720</v>
      </c>
      <c r="G224" s="48">
        <f t="shared" ref="G224:N224" si="159">G222*G223*12</f>
        <v>25461.600000000002</v>
      </c>
      <c r="H224" s="48">
        <f t="shared" si="159"/>
        <v>26225.448000000004</v>
      </c>
      <c r="I224" s="48">
        <f t="shared" si="159"/>
        <v>27012.211440000006</v>
      </c>
      <c r="J224" s="48">
        <f t="shared" si="159"/>
        <v>27822.577783200002</v>
      </c>
      <c r="K224" s="48">
        <f t="shared" si="159"/>
        <v>28657.255116696011</v>
      </c>
      <c r="L224" s="48">
        <f t="shared" si="159"/>
        <v>29516.972770196888</v>
      </c>
      <c r="M224" s="48">
        <f t="shared" si="159"/>
        <v>30402.481953302799</v>
      </c>
      <c r="N224" s="48">
        <f t="shared" si="159"/>
        <v>31314.556411901882</v>
      </c>
      <c r="O224" s="48">
        <f>O222*O223*12</f>
        <v>32253.993104258941</v>
      </c>
      <c r="P224" s="48">
        <f>P222*P223*12</f>
        <v>33221.612897386709</v>
      </c>
      <c r="Q224" s="10"/>
    </row>
  </sheetData>
  <printOptions horizontalCentered="1"/>
  <pageMargins left="0.7" right="0.7" top="0.75" bottom="0.75" header="0.3" footer="0.3"/>
  <pageSetup paperSize="17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224"/>
  <sheetViews>
    <sheetView workbookViewId="0">
      <selection activeCell="K188" sqref="K188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5.5703125" bestFit="1" customWidth="1"/>
    <col min="5" max="16" width="12.71093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Site4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 t="shared" ref="F5:P5" si="1">F4+E5</f>
        <v>0.02</v>
      </c>
      <c r="G5" s="81">
        <f t="shared" si="1"/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1.1000000000000001</v>
      </c>
      <c r="F13" s="93">
        <v>1.08</v>
      </c>
      <c r="G13" s="93">
        <v>1.06</v>
      </c>
      <c r="H13" s="93">
        <v>1.02</v>
      </c>
      <c r="I13" s="64">
        <f t="shared" ref="G13:P16" si="8">H13</f>
        <v>1.02</v>
      </c>
      <c r="J13" s="64">
        <f t="shared" si="8"/>
        <v>1.02</v>
      </c>
      <c r="K13" s="64">
        <f t="shared" si="8"/>
        <v>1.02</v>
      </c>
      <c r="L13" s="64">
        <f t="shared" si="8"/>
        <v>1.02</v>
      </c>
      <c r="M13" s="64">
        <f t="shared" si="8"/>
        <v>1.02</v>
      </c>
      <c r="N13" s="64">
        <f t="shared" si="8"/>
        <v>1.02</v>
      </c>
      <c r="O13" s="64">
        <f t="shared" si="8"/>
        <v>1.02</v>
      </c>
      <c r="P13" s="64">
        <f t="shared" si="8"/>
        <v>1.02</v>
      </c>
    </row>
    <row r="14" spans="1:60" x14ac:dyDescent="0.25">
      <c r="A14" s="30"/>
      <c r="B14" t="s">
        <v>141</v>
      </c>
      <c r="E14" s="93">
        <v>0.3</v>
      </c>
      <c r="F14" s="64">
        <f>E14</f>
        <v>0.3</v>
      </c>
      <c r="G14" s="64">
        <f t="shared" si="8"/>
        <v>0.3</v>
      </c>
      <c r="H14" s="64">
        <f t="shared" si="8"/>
        <v>0.3</v>
      </c>
      <c r="I14" s="64">
        <f t="shared" si="8"/>
        <v>0.3</v>
      </c>
      <c r="J14" s="64">
        <f t="shared" si="8"/>
        <v>0.3</v>
      </c>
      <c r="K14" s="64">
        <f t="shared" si="8"/>
        <v>0.3</v>
      </c>
      <c r="L14" s="64">
        <f t="shared" si="8"/>
        <v>0.3</v>
      </c>
      <c r="M14" s="64">
        <f t="shared" si="8"/>
        <v>0.3</v>
      </c>
      <c r="N14" s="64">
        <f t="shared" si="8"/>
        <v>0.3</v>
      </c>
      <c r="O14" s="64">
        <f t="shared" si="8"/>
        <v>0.3</v>
      </c>
      <c r="P14" s="64">
        <f t="shared" si="8"/>
        <v>0.3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>E13*E182</f>
        <v>99.000000000000014</v>
      </c>
      <c r="F17" s="31">
        <f t="shared" ref="F17:P17" si="10">F13*F182</f>
        <v>140.4</v>
      </c>
      <c r="G17" s="31">
        <f t="shared" si="10"/>
        <v>159</v>
      </c>
      <c r="H17" s="31">
        <f t="shared" si="10"/>
        <v>161.16</v>
      </c>
      <c r="I17" s="31">
        <f t="shared" si="10"/>
        <v>169.32</v>
      </c>
      <c r="J17" s="31">
        <f t="shared" si="10"/>
        <v>177.48</v>
      </c>
      <c r="K17" s="31">
        <f t="shared" si="10"/>
        <v>186.66</v>
      </c>
      <c r="L17" s="31">
        <f t="shared" si="10"/>
        <v>195.84</v>
      </c>
      <c r="M17" s="31">
        <f t="shared" si="10"/>
        <v>206.04</v>
      </c>
      <c r="N17" s="31">
        <f t="shared" si="10"/>
        <v>216.24</v>
      </c>
      <c r="O17" s="31">
        <f t="shared" si="10"/>
        <v>227.46</v>
      </c>
      <c r="P17" s="31">
        <f t="shared" si="10"/>
        <v>238.68</v>
      </c>
    </row>
    <row r="18" spans="1:16" x14ac:dyDescent="0.25">
      <c r="A18" s="30"/>
      <c r="B18" s="18" t="s">
        <v>145</v>
      </c>
      <c r="E18" s="31">
        <f>+E17*E14</f>
        <v>29.700000000000003</v>
      </c>
      <c r="F18" s="31">
        <f>+F17*F14</f>
        <v>42.12</v>
      </c>
      <c r="G18" s="31">
        <f>+G17*G14</f>
        <v>47.699999999999996</v>
      </c>
      <c r="H18" s="31">
        <f>+H17*H14</f>
        <v>48.347999999999999</v>
      </c>
      <c r="I18" s="31">
        <f>+I17*I14</f>
        <v>50.795999999999999</v>
      </c>
      <c r="J18" s="31">
        <f t="shared" ref="J18:P18" si="11">+J17*J14</f>
        <v>53.243999999999993</v>
      </c>
      <c r="K18" s="31">
        <f t="shared" si="11"/>
        <v>55.997999999999998</v>
      </c>
      <c r="L18" s="31">
        <f t="shared" si="11"/>
        <v>58.751999999999995</v>
      </c>
      <c r="M18" s="31">
        <f t="shared" si="11"/>
        <v>61.811999999999998</v>
      </c>
      <c r="N18" s="31">
        <f t="shared" si="11"/>
        <v>64.872</v>
      </c>
      <c r="O18" s="31">
        <f t="shared" si="11"/>
        <v>68.238</v>
      </c>
      <c r="P18" s="31">
        <f t="shared" si="11"/>
        <v>71.603999999999999</v>
      </c>
    </row>
    <row r="19" spans="1:16" x14ac:dyDescent="0.25">
      <c r="A19" s="30"/>
      <c r="B19" s="18" t="s">
        <v>146</v>
      </c>
      <c r="E19" s="31">
        <f t="shared" ref="E19:P19" si="12">E182*E15</f>
        <v>9</v>
      </c>
      <c r="F19" s="31">
        <f t="shared" si="12"/>
        <v>13</v>
      </c>
      <c r="G19" s="31">
        <f t="shared" si="12"/>
        <v>15</v>
      </c>
      <c r="H19" s="31">
        <f t="shared" si="12"/>
        <v>15.8</v>
      </c>
      <c r="I19" s="31">
        <f t="shared" si="12"/>
        <v>16.600000000000001</v>
      </c>
      <c r="J19" s="31">
        <f t="shared" si="12"/>
        <v>17.400000000000002</v>
      </c>
      <c r="K19" s="31">
        <f t="shared" si="12"/>
        <v>18.3</v>
      </c>
      <c r="L19" s="31">
        <f t="shared" si="12"/>
        <v>19.200000000000003</v>
      </c>
      <c r="M19" s="31">
        <f t="shared" si="12"/>
        <v>20.200000000000003</v>
      </c>
      <c r="N19" s="31">
        <f t="shared" si="12"/>
        <v>21.200000000000003</v>
      </c>
      <c r="O19" s="31">
        <f t="shared" si="12"/>
        <v>22.3</v>
      </c>
      <c r="P19" s="31">
        <f t="shared" si="12"/>
        <v>23.400000000000002</v>
      </c>
    </row>
    <row r="20" spans="1:16" x14ac:dyDescent="0.25">
      <c r="A20" s="30"/>
      <c r="B20" s="18" t="s">
        <v>147</v>
      </c>
      <c r="E20" s="31">
        <f t="shared" ref="E20:P20" si="13">E182*E16</f>
        <v>0.9</v>
      </c>
      <c r="F20" s="31">
        <f t="shared" si="13"/>
        <v>1.3</v>
      </c>
      <c r="G20" s="31">
        <f t="shared" si="13"/>
        <v>1.5</v>
      </c>
      <c r="H20" s="31">
        <f t="shared" si="13"/>
        <v>1.58</v>
      </c>
      <c r="I20" s="31">
        <f t="shared" si="13"/>
        <v>1.6600000000000001</v>
      </c>
      <c r="J20" s="31">
        <f t="shared" si="13"/>
        <v>1.74</v>
      </c>
      <c r="K20" s="31">
        <f t="shared" si="13"/>
        <v>1.83</v>
      </c>
      <c r="L20" s="31">
        <f t="shared" si="13"/>
        <v>1.92</v>
      </c>
      <c r="M20" s="31">
        <f t="shared" si="13"/>
        <v>2.02</v>
      </c>
      <c r="N20" s="31">
        <f t="shared" si="13"/>
        <v>2.12</v>
      </c>
      <c r="O20" s="31">
        <f t="shared" si="13"/>
        <v>2.23</v>
      </c>
      <c r="P20" s="31">
        <f t="shared" si="13"/>
        <v>2.34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D23" s="329">
        <f>1-CSO!D23</f>
        <v>0.7</v>
      </c>
      <c r="E23" s="6">
        <f>(0.5*(E17*Revenue!D8)*$D23)+(0.5*(E182*Revenue!D8)*$D23)</f>
        <v>443205</v>
      </c>
      <c r="F23" s="6">
        <f>(0.5*(F17*Revenue!E8)*$D23)+(0.5*(F182*Revenue!E8)*$D23)</f>
        <v>638843.66</v>
      </c>
      <c r="G23" s="6">
        <f>(0.5*(G17*Revenue!F8)*$D23)+(0.5*(G182*Revenue!F8)*$D23)</f>
        <v>735514.83403125009</v>
      </c>
      <c r="H23" s="6">
        <f>(0.5*(H17*Revenue!G8)*$D23)+(0.5*(H182*Revenue!G8)*$D23)</f>
        <v>765396.49284024071</v>
      </c>
      <c r="I23" s="6">
        <f>(0.5*(I17*Revenue!H8)*$D23)+(0.5*(I182*Revenue!H8)*$D23)</f>
        <v>810181.87623459531</v>
      </c>
      <c r="J23" s="6">
        <f>(0.5*(J17*Revenue!I8)*$D23)+(0.5*(J182*Revenue!I8)*$D23)</f>
        <v>855595.986827143</v>
      </c>
      <c r="K23" s="6">
        <f>(0.5*(K17*Revenue!J8)*$D23)+(0.5*(K182*Revenue!J8)*$D23)</f>
        <v>906599.83380050259</v>
      </c>
      <c r="L23" s="6">
        <f>(0.5*(L17*Revenue!K8)*$D23)+(0.5*(L182*Revenue!K8)*$D23)</f>
        <v>958320.61120420345</v>
      </c>
      <c r="M23" s="6">
        <f>(0.5*(M17*Revenue!L8)*$D23)+(0.5*(M182*Revenue!L8)*$D23)</f>
        <v>1015794.8916105388</v>
      </c>
      <c r="N23" s="6">
        <f>(0.5*(N17*Revenue!M8)*$D23)+(0.5*(N182*Revenue!M8)*$D23)</f>
        <v>1074077.3806885891</v>
      </c>
      <c r="O23" s="6">
        <f>(0.5*(O17*Revenue!N8)*$D23)+(0.5*(O182*Revenue!N8)*$D23)</f>
        <v>1138281.3693997974</v>
      </c>
      <c r="P23" s="6">
        <f>(0.5*(P17*Revenue!O8)*$D23)+(0.5*(P182*Revenue!O8)*$D23)</f>
        <v>1203388.0010890102</v>
      </c>
    </row>
    <row r="24" spans="1:16" s="2" customFormat="1" collapsed="1" x14ac:dyDescent="0.25">
      <c r="A24" s="16"/>
      <c r="B24" s="16" t="s">
        <v>427</v>
      </c>
      <c r="D24" s="325"/>
      <c r="E24" s="183">
        <f>SUM(E23:E23)</f>
        <v>443205</v>
      </c>
      <c r="F24" s="183">
        <f t="shared" ref="F24:P24" si="15">SUM(F23:F23)</f>
        <v>638843.66</v>
      </c>
      <c r="G24" s="183">
        <f t="shared" si="15"/>
        <v>735514.83403125009</v>
      </c>
      <c r="H24" s="183">
        <f t="shared" si="15"/>
        <v>765396.49284024071</v>
      </c>
      <c r="I24" s="183">
        <f t="shared" si="15"/>
        <v>810181.87623459531</v>
      </c>
      <c r="J24" s="183">
        <f t="shared" si="15"/>
        <v>855595.986827143</v>
      </c>
      <c r="K24" s="183">
        <f t="shared" si="15"/>
        <v>906599.83380050259</v>
      </c>
      <c r="L24" s="183">
        <f t="shared" si="15"/>
        <v>958320.61120420345</v>
      </c>
      <c r="M24" s="183">
        <f t="shared" si="15"/>
        <v>1015794.8916105388</v>
      </c>
      <c r="N24" s="183">
        <f t="shared" si="15"/>
        <v>1074077.3806885891</v>
      </c>
      <c r="O24" s="183">
        <f t="shared" si="15"/>
        <v>1138281.3693997974</v>
      </c>
      <c r="P24" s="183">
        <f t="shared" si="15"/>
        <v>1203388.0010890102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708</v>
      </c>
      <c r="E25" s="6">
        <f>IF($D25="YES",0,E$17*Revenue!D$12)</f>
        <v>0</v>
      </c>
      <c r="F25" s="6">
        <f>IF($D25="YES",0,F$17*Revenue!E$12)</f>
        <v>0</v>
      </c>
      <c r="G25" s="6">
        <f>IF($D25="YES",0,G$17*Revenue!F$12)</f>
        <v>0</v>
      </c>
      <c r="H25" s="6">
        <f>IF($D25="YES",0,H$17*Revenue!G$12)</f>
        <v>0</v>
      </c>
      <c r="I25" s="6">
        <f>IF($D25="YES",0,I$17*Revenue!H$12)</f>
        <v>0</v>
      </c>
      <c r="J25" s="6">
        <f>IF($D25="YES",0,J$17*Revenue!I$12)</f>
        <v>0</v>
      </c>
      <c r="K25" s="6">
        <f>IF($D25="YES",0,K$17*Revenue!J$12)</f>
        <v>0</v>
      </c>
      <c r="L25" s="6">
        <f>IF($D25="YES",0,L$17*Revenue!K$12)</f>
        <v>0</v>
      </c>
      <c r="M25" s="6">
        <f>IF($D25="YES",0,M$17*Revenue!L$12)</f>
        <v>0</v>
      </c>
      <c r="N25" s="6">
        <f>IF($D25="YES",0,N$17*Revenue!M$12)</f>
        <v>0</v>
      </c>
      <c r="O25" s="6">
        <f>IF($D25="YES",0,O$17*Revenue!N$12)</f>
        <v>0</v>
      </c>
      <c r="P25" s="6">
        <f>IF($D25="YES",0,P$17*Revenue!O$12)</f>
        <v>0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tr">
        <f>Assumptions!B15</f>
        <v>YES</v>
      </c>
      <c r="E27" s="6">
        <f>IF($D27="YES",0,E$17*Revenue!D$19)</f>
        <v>0</v>
      </c>
      <c r="F27" s="6">
        <f>IF($D27="YES",0,F$17*Revenue!E$19)</f>
        <v>0</v>
      </c>
      <c r="G27" s="6">
        <f>IF($D27="YES",0,G$17*Revenue!F$19)</f>
        <v>0</v>
      </c>
      <c r="H27" s="6">
        <f>IF($D27="YES",0,H$17*Revenue!G$19)</f>
        <v>0</v>
      </c>
      <c r="I27" s="6">
        <f>IF($D27="YES",0,I$17*Revenue!H$19)</f>
        <v>0</v>
      </c>
      <c r="J27" s="6">
        <f>IF($D27="YES",0,J$17*Revenue!I$19)</f>
        <v>0</v>
      </c>
      <c r="K27" s="6">
        <f>IF($D27="YES",0,K$17*Revenue!J$19)</f>
        <v>0</v>
      </c>
      <c r="L27" s="6">
        <f>IF($D27="YES",0,L$17*Revenue!K$19)</f>
        <v>0</v>
      </c>
      <c r="M27" s="6">
        <f>IF($D27="YES",0,M$17*Revenue!L$19)</f>
        <v>0</v>
      </c>
      <c r="N27" s="6">
        <f>IF($D27="YES",0,N$17*Revenue!M$19)</f>
        <v>0</v>
      </c>
      <c r="O27" s="6">
        <f>IF($D27="YES",0,O$17*Revenue!N$19)</f>
        <v>0</v>
      </c>
      <c r="P27" s="6">
        <f>IF($D27="YES",0,P$17*Revenue!O$19)</f>
        <v>0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6">F125*0.5</f>
        <v>0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0</v>
      </c>
      <c r="K28" s="32">
        <f t="shared" si="16"/>
        <v>0</v>
      </c>
      <c r="L28" s="32">
        <f t="shared" si="16"/>
        <v>0</v>
      </c>
      <c r="M28" s="32">
        <f t="shared" si="16"/>
        <v>0</v>
      </c>
      <c r="N28" s="32">
        <f t="shared" si="16"/>
        <v>0</v>
      </c>
      <c r="O28" s="32">
        <f t="shared" si="16"/>
        <v>0</v>
      </c>
      <c r="P28" s="32">
        <f t="shared" si="16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7">SUM(E25:E28)</f>
        <v>0</v>
      </c>
      <c r="F29" s="174">
        <f t="shared" si="17"/>
        <v>0</v>
      </c>
      <c r="G29" s="174">
        <f t="shared" si="17"/>
        <v>0</v>
      </c>
      <c r="H29" s="174">
        <f t="shared" si="17"/>
        <v>0</v>
      </c>
      <c r="I29" s="174">
        <f t="shared" si="17"/>
        <v>0</v>
      </c>
      <c r="J29" s="174">
        <f t="shared" si="17"/>
        <v>0</v>
      </c>
      <c r="K29" s="174">
        <f t="shared" si="17"/>
        <v>0</v>
      </c>
      <c r="L29" s="174">
        <f t="shared" si="17"/>
        <v>0</v>
      </c>
      <c r="M29" s="174">
        <f t="shared" si="17"/>
        <v>0</v>
      </c>
      <c r="N29" s="174">
        <f t="shared" si="17"/>
        <v>0</v>
      </c>
      <c r="O29" s="174">
        <f t="shared" si="17"/>
        <v>0</v>
      </c>
      <c r="P29" s="174">
        <f t="shared" si="17"/>
        <v>0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708</v>
      </c>
      <c r="E30" s="6">
        <f>IF($D30="YES",0,E$17*Revenue!D$17)</f>
        <v>0</v>
      </c>
      <c r="F30" s="6">
        <f>IF($D30="YES",0,F$17*Revenue!E$17)</f>
        <v>0</v>
      </c>
      <c r="G30" s="6">
        <f>IF($D30="YES",0,G$17*Revenue!F$17)</f>
        <v>0</v>
      </c>
      <c r="H30" s="6">
        <f>IF($D30="YES",0,H$17*Revenue!G$17)</f>
        <v>0</v>
      </c>
      <c r="I30" s="6">
        <f>IF($D30="YES",0,I$17*Revenue!H$17)</f>
        <v>0</v>
      </c>
      <c r="J30" s="6">
        <f>IF($D30="YES",0,J$17*Revenue!I$17)</f>
        <v>0</v>
      </c>
      <c r="K30" s="6">
        <f>IF($D30="YES",0,K$17*Revenue!J$17)</f>
        <v>0</v>
      </c>
      <c r="L30" s="6">
        <f>IF($D30="YES",0,L$17*Revenue!K$17)</f>
        <v>0</v>
      </c>
      <c r="M30" s="6">
        <f>IF($D30="YES",0,M$17*Revenue!L$17)</f>
        <v>0</v>
      </c>
      <c r="N30" s="6">
        <f>IF($D30="YES",0,N$17*Revenue!M$17)</f>
        <v>0</v>
      </c>
      <c r="O30" s="6">
        <f>IF($D30="YES",0,O$17*Revenue!N$17)</f>
        <v>0</v>
      </c>
      <c r="P30" s="6">
        <f>IF($D30="YES",0,P$17*Revenue!O$17)</f>
        <v>0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83">
        <f t="shared" ref="E34:P34" si="18">SUM(E30:E33)</f>
        <v>0</v>
      </c>
      <c r="F34" s="183">
        <f t="shared" si="18"/>
        <v>0</v>
      </c>
      <c r="G34" s="183">
        <f t="shared" si="18"/>
        <v>0</v>
      </c>
      <c r="H34" s="174">
        <f t="shared" si="18"/>
        <v>0</v>
      </c>
      <c r="I34" s="174">
        <f t="shared" si="18"/>
        <v>0</v>
      </c>
      <c r="J34" s="174">
        <f t="shared" si="18"/>
        <v>0</v>
      </c>
      <c r="K34" s="174">
        <f t="shared" si="18"/>
        <v>0</v>
      </c>
      <c r="L34" s="174">
        <f t="shared" si="18"/>
        <v>0</v>
      </c>
      <c r="M34" s="174">
        <f t="shared" si="18"/>
        <v>0</v>
      </c>
      <c r="N34" s="174">
        <f t="shared" si="18"/>
        <v>0</v>
      </c>
      <c r="O34" s="174">
        <f t="shared" si="18"/>
        <v>0</v>
      </c>
      <c r="P34" s="174">
        <f t="shared" si="18"/>
        <v>0</v>
      </c>
    </row>
    <row r="35" spans="1:16" s="2" customFormat="1" hidden="1" outlineLevel="1" x14ac:dyDescent="0.25">
      <c r="A35" s="16"/>
      <c r="B35" s="6" t="s">
        <v>271</v>
      </c>
      <c r="D35" s="82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107">
        <v>0</v>
      </c>
      <c r="F37" s="107">
        <v>0</v>
      </c>
      <c r="G37" s="107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83">
        <f>SUM(E35:E37)</f>
        <v>0</v>
      </c>
      <c r="F38" s="183">
        <f t="shared" ref="F38:P38" si="19">SUM(F35:F37)</f>
        <v>0</v>
      </c>
      <c r="G38" s="183">
        <f t="shared" si="19"/>
        <v>0</v>
      </c>
      <c r="H38" s="174">
        <f t="shared" si="19"/>
        <v>0</v>
      </c>
      <c r="I38" s="174">
        <f t="shared" si="19"/>
        <v>0</v>
      </c>
      <c r="J38" s="174">
        <f t="shared" si="19"/>
        <v>0</v>
      </c>
      <c r="K38" s="174">
        <f t="shared" si="19"/>
        <v>0</v>
      </c>
      <c r="L38" s="174">
        <f t="shared" si="19"/>
        <v>0</v>
      </c>
      <c r="M38" s="174">
        <f t="shared" si="19"/>
        <v>0</v>
      </c>
      <c r="N38" s="174">
        <f t="shared" si="19"/>
        <v>0</v>
      </c>
      <c r="O38" s="174">
        <f t="shared" si="19"/>
        <v>0</v>
      </c>
      <c r="P38" s="174">
        <f t="shared" si="19"/>
        <v>0</v>
      </c>
    </row>
    <row r="39" spans="1:16" s="2" customFormat="1" ht="15.75" thickBot="1" x14ac:dyDescent="0.3">
      <c r="A39" s="16" t="s">
        <v>210</v>
      </c>
      <c r="E39" s="204">
        <f>E34+E29+E24+E38</f>
        <v>443205</v>
      </c>
      <c r="F39" s="204">
        <f t="shared" ref="F39:P39" si="20">F34+F29+F24+F38</f>
        <v>638843.66</v>
      </c>
      <c r="G39" s="204">
        <f t="shared" si="20"/>
        <v>735514.83403125009</v>
      </c>
      <c r="H39" s="204">
        <f t="shared" si="20"/>
        <v>765396.49284024071</v>
      </c>
      <c r="I39" s="204">
        <f t="shared" si="20"/>
        <v>810181.87623459531</v>
      </c>
      <c r="J39" s="204">
        <f t="shared" si="20"/>
        <v>855595.986827143</v>
      </c>
      <c r="K39" s="204">
        <f t="shared" si="20"/>
        <v>906599.83380050259</v>
      </c>
      <c r="L39" s="204">
        <f t="shared" si="20"/>
        <v>958320.61120420345</v>
      </c>
      <c r="M39" s="204">
        <f t="shared" si="20"/>
        <v>1015794.8916105388</v>
      </c>
      <c r="N39" s="204">
        <f t="shared" si="20"/>
        <v>1074077.3806885891</v>
      </c>
      <c r="O39" s="204">
        <f t="shared" si="20"/>
        <v>1138281.3693997974</v>
      </c>
      <c r="P39" s="204">
        <f t="shared" si="20"/>
        <v>1203388.0010890102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195" t="s">
        <v>750</v>
      </c>
      <c r="D42" s="331">
        <v>1.144827</v>
      </c>
      <c r="E42" s="294">
        <f>IF(E$182=0,0,SUMIFS(E$209:E$217,$A$209:$A$217,$A42))*$D42</f>
        <v>0</v>
      </c>
      <c r="F42" s="294">
        <f t="shared" ref="F42:P42" si="22">IF(F$182=0,0,SUMIFS(F$209:F$217,$A$209:$A$217,$A42))*$D42</f>
        <v>0</v>
      </c>
      <c r="G42" s="294">
        <f t="shared" si="22"/>
        <v>0</v>
      </c>
      <c r="H42" s="294">
        <f t="shared" si="22"/>
        <v>0</v>
      </c>
      <c r="I42" s="294">
        <f t="shared" si="22"/>
        <v>0</v>
      </c>
      <c r="J42" s="294">
        <f t="shared" si="22"/>
        <v>0</v>
      </c>
      <c r="K42" s="294">
        <f t="shared" si="22"/>
        <v>0</v>
      </c>
      <c r="L42" s="294">
        <f t="shared" si="22"/>
        <v>35890.326450000008</v>
      </c>
      <c r="M42" s="294">
        <f t="shared" si="22"/>
        <v>36519.981299999999</v>
      </c>
      <c r="N42" s="294">
        <f t="shared" si="22"/>
        <v>37149.636149999998</v>
      </c>
      <c r="O42" s="294">
        <f t="shared" si="22"/>
        <v>37779.291000000005</v>
      </c>
      <c r="P42" s="294">
        <f t="shared" si="22"/>
        <v>38408.945850000004</v>
      </c>
    </row>
    <row r="43" spans="1:16" s="2" customFormat="1" hidden="1" outlineLevel="2" x14ac:dyDescent="0.25">
      <c r="A43" s="62" t="s">
        <v>402</v>
      </c>
      <c r="B43" s="18" t="s">
        <v>372</v>
      </c>
      <c r="C43" s="195" t="s">
        <v>751</v>
      </c>
      <c r="D43" s="332">
        <v>1.1299999999999999E-2</v>
      </c>
      <c r="E43" s="107">
        <f>SUMIFS(E$209:E$217,$A$209:$A$217,$A43)*(1-$D43)</f>
        <v>0</v>
      </c>
      <c r="F43" s="107">
        <f t="shared" ref="F43:P43" si="23">SUMIFS(F$209:F$217,$A$209:$A$217,$A43)*(1-$D43)</f>
        <v>0</v>
      </c>
      <c r="G43" s="107">
        <f t="shared" si="23"/>
        <v>0</v>
      </c>
      <c r="H43" s="107">
        <f t="shared" si="23"/>
        <v>0</v>
      </c>
      <c r="I43" s="107">
        <f t="shared" si="23"/>
        <v>0</v>
      </c>
      <c r="J43" s="107">
        <f t="shared" si="23"/>
        <v>0</v>
      </c>
      <c r="K43" s="107">
        <f t="shared" si="23"/>
        <v>0</v>
      </c>
      <c r="L43" s="107">
        <f t="shared" si="23"/>
        <v>0</v>
      </c>
      <c r="M43" s="107">
        <f t="shared" si="23"/>
        <v>0</v>
      </c>
      <c r="N43" s="107">
        <f t="shared" si="23"/>
        <v>0</v>
      </c>
      <c r="O43" s="107">
        <f t="shared" si="23"/>
        <v>0</v>
      </c>
      <c r="P43" s="107">
        <f t="shared" si="23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0</v>
      </c>
      <c r="F44" s="107">
        <f t="shared" ref="F44:P44" si="24">SUM(F42:F43)</f>
        <v>0</v>
      </c>
      <c r="G44" s="107">
        <f t="shared" si="24"/>
        <v>0</v>
      </c>
      <c r="H44" s="107">
        <f t="shared" si="24"/>
        <v>0</v>
      </c>
      <c r="I44" s="107">
        <f t="shared" si="24"/>
        <v>0</v>
      </c>
      <c r="J44" s="107">
        <f t="shared" si="24"/>
        <v>0</v>
      </c>
      <c r="K44" s="107">
        <f t="shared" si="24"/>
        <v>0</v>
      </c>
      <c r="L44" s="107">
        <f t="shared" si="24"/>
        <v>35890.326450000008</v>
      </c>
      <c r="M44" s="107">
        <f t="shared" si="24"/>
        <v>36519.981299999999</v>
      </c>
      <c r="N44" s="107">
        <f t="shared" si="24"/>
        <v>37149.636149999998</v>
      </c>
      <c r="O44" s="107">
        <f t="shared" si="24"/>
        <v>37779.291000000005</v>
      </c>
      <c r="P44" s="107">
        <f t="shared" si="24"/>
        <v>38408.945850000004</v>
      </c>
    </row>
    <row r="45" spans="1:16" s="2" customFormat="1" hidden="1" outlineLevel="2" x14ac:dyDescent="0.25">
      <c r="A45" s="195" t="s">
        <v>403</v>
      </c>
      <c r="B45" s="74" t="s">
        <v>382</v>
      </c>
      <c r="C45" s="19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195" t="s">
        <v>751</v>
      </c>
      <c r="D46" s="332">
        <v>1.1299999999999999E-2</v>
      </c>
      <c r="E46" s="107">
        <f>SUMIFS(E$209:E$217,$A$209:$A$217,$A46)*(1-$D46)</f>
        <v>84039.5</v>
      </c>
      <c r="F46" s="107">
        <f t="shared" ref="F46:P46" si="26">SUMIFS(F$209:F$217,$A$209:$A$217,$A46)*(1-$D46)</f>
        <v>85720.290000000008</v>
      </c>
      <c r="G46" s="107">
        <f t="shared" si="26"/>
        <v>87401.08</v>
      </c>
      <c r="H46" s="107">
        <f t="shared" si="26"/>
        <v>89081.87</v>
      </c>
      <c r="I46" s="107">
        <f t="shared" si="26"/>
        <v>90762.66</v>
      </c>
      <c r="J46" s="107">
        <f t="shared" si="26"/>
        <v>92443.450000000012</v>
      </c>
      <c r="K46" s="107">
        <f t="shared" si="26"/>
        <v>94124.24000000002</v>
      </c>
      <c r="L46" s="107">
        <f t="shared" si="26"/>
        <v>95805.030000000013</v>
      </c>
      <c r="M46" s="107">
        <f t="shared" si="26"/>
        <v>97485.82</v>
      </c>
      <c r="N46" s="107">
        <f t="shared" si="26"/>
        <v>99166.61</v>
      </c>
      <c r="O46" s="107">
        <f t="shared" si="26"/>
        <v>100847.40000000001</v>
      </c>
      <c r="P46" s="107">
        <f t="shared" si="26"/>
        <v>102528.19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84039.5</v>
      </c>
      <c r="F47" s="107">
        <f t="shared" ref="F47:P47" si="27">SUM(F45:F46)</f>
        <v>85720.290000000008</v>
      </c>
      <c r="G47" s="107">
        <f t="shared" si="27"/>
        <v>87401.08</v>
      </c>
      <c r="H47" s="107">
        <f t="shared" si="27"/>
        <v>89081.87</v>
      </c>
      <c r="I47" s="107">
        <f t="shared" si="27"/>
        <v>90762.66</v>
      </c>
      <c r="J47" s="107">
        <f t="shared" si="27"/>
        <v>92443.450000000012</v>
      </c>
      <c r="K47" s="107">
        <f t="shared" si="27"/>
        <v>94124.24000000002</v>
      </c>
      <c r="L47" s="107">
        <f t="shared" si="27"/>
        <v>95805.030000000013</v>
      </c>
      <c r="M47" s="107">
        <f t="shared" si="27"/>
        <v>97485.82</v>
      </c>
      <c r="N47" s="107">
        <f t="shared" si="27"/>
        <v>99166.61</v>
      </c>
      <c r="O47" s="107">
        <f t="shared" si="27"/>
        <v>100847.40000000001</v>
      </c>
      <c r="P47" s="107">
        <f t="shared" si="27"/>
        <v>102528.19</v>
      </c>
    </row>
    <row r="48" spans="1:16" s="2" customFormat="1" hidden="1" outlineLevel="2" x14ac:dyDescent="0.25">
      <c r="A48" s="195" t="s">
        <v>407</v>
      </c>
      <c r="B48" s="74" t="s">
        <v>377</v>
      </c>
      <c r="C48" s="195" t="s">
        <v>750</v>
      </c>
      <c r="D48" s="331">
        <v>1.144827</v>
      </c>
      <c r="E48" s="107">
        <f>IF(E$182=0,0,SUMIFS(E$209:E$217,$A$209:$A$217,$A48))*$D48</f>
        <v>0</v>
      </c>
      <c r="F48" s="107">
        <f t="shared" ref="F48:P48" si="28">IF(F$182=0,0,SUMIFS(F$209:F$217,$A$209:$A$217,$A48))*$D48</f>
        <v>46708.941599999998</v>
      </c>
      <c r="G48" s="107">
        <f t="shared" si="28"/>
        <v>47624.803200000002</v>
      </c>
      <c r="H48" s="107">
        <f t="shared" si="28"/>
        <v>48540.664799999999</v>
      </c>
      <c r="I48" s="107">
        <f t="shared" si="28"/>
        <v>49456.526400000002</v>
      </c>
      <c r="J48" s="107">
        <f t="shared" si="28"/>
        <v>50372.387999999999</v>
      </c>
      <c r="K48" s="107">
        <f t="shared" si="28"/>
        <v>51288.24960000001</v>
      </c>
      <c r="L48" s="107">
        <f t="shared" si="28"/>
        <v>52204.111200000007</v>
      </c>
      <c r="M48" s="107">
        <f t="shared" si="28"/>
        <v>53119.972800000003</v>
      </c>
      <c r="N48" s="107">
        <f t="shared" si="28"/>
        <v>54035.8344</v>
      </c>
      <c r="O48" s="107">
        <f t="shared" si="28"/>
        <v>54951.696000000004</v>
      </c>
      <c r="P48" s="107">
        <f t="shared" si="28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195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29">SUMIFS(F$209:F$217,$A$209:$A$217,$A49)*(1-$D49)</f>
        <v>0</v>
      </c>
      <c r="G49" s="107">
        <f t="shared" si="29"/>
        <v>0</v>
      </c>
      <c r="H49" s="107">
        <f t="shared" si="29"/>
        <v>0</v>
      </c>
      <c r="I49" s="107">
        <f t="shared" si="29"/>
        <v>0</v>
      </c>
      <c r="J49" s="107">
        <f t="shared" si="29"/>
        <v>0</v>
      </c>
      <c r="K49" s="107">
        <f t="shared" si="29"/>
        <v>0</v>
      </c>
      <c r="L49" s="107">
        <f t="shared" si="29"/>
        <v>0</v>
      </c>
      <c r="M49" s="107">
        <f t="shared" si="29"/>
        <v>0</v>
      </c>
      <c r="N49" s="107">
        <f t="shared" si="29"/>
        <v>0</v>
      </c>
      <c r="O49" s="107">
        <f t="shared" si="29"/>
        <v>0</v>
      </c>
      <c r="P49" s="107">
        <f t="shared" si="29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0</v>
      </c>
      <c r="F50" s="107">
        <f t="shared" ref="F50:P50" si="30">SUM(F48:F49)</f>
        <v>46708.941599999998</v>
      </c>
      <c r="G50" s="107">
        <f t="shared" si="30"/>
        <v>47624.803200000002</v>
      </c>
      <c r="H50" s="107">
        <f t="shared" si="30"/>
        <v>48540.664799999999</v>
      </c>
      <c r="I50" s="107">
        <f t="shared" si="30"/>
        <v>49456.526400000002</v>
      </c>
      <c r="J50" s="107">
        <f t="shared" si="30"/>
        <v>50372.387999999999</v>
      </c>
      <c r="K50" s="107">
        <f t="shared" si="30"/>
        <v>51288.24960000001</v>
      </c>
      <c r="L50" s="107">
        <f t="shared" si="30"/>
        <v>52204.111200000007</v>
      </c>
      <c r="M50" s="107">
        <f t="shared" si="30"/>
        <v>53119.972800000003</v>
      </c>
      <c r="N50" s="107">
        <f t="shared" si="30"/>
        <v>54035.8344</v>
      </c>
      <c r="O50" s="107">
        <f t="shared" si="30"/>
        <v>54951.696000000004</v>
      </c>
      <c r="P50" s="107">
        <f t="shared" si="30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4500</v>
      </c>
      <c r="F51" s="107">
        <f t="shared" ref="F51:P51" si="31">IF(F$182=0,0,SUMIFS(F$209:F$217,$A$209:$A$217,$A51))</f>
        <v>16830</v>
      </c>
      <c r="G51" s="107">
        <f t="shared" si="31"/>
        <v>24960</v>
      </c>
      <c r="H51" s="107">
        <f t="shared" si="31"/>
        <v>25440</v>
      </c>
      <c r="I51" s="107">
        <f t="shared" si="31"/>
        <v>25920</v>
      </c>
      <c r="J51" s="107">
        <f t="shared" si="31"/>
        <v>26400.000000000004</v>
      </c>
      <c r="K51" s="107">
        <f t="shared" si="31"/>
        <v>26880.000000000004</v>
      </c>
      <c r="L51" s="107">
        <f t="shared" si="31"/>
        <v>27360.000000000004</v>
      </c>
      <c r="M51" s="107">
        <f t="shared" si="31"/>
        <v>27839.999999999996</v>
      </c>
      <c r="N51" s="107">
        <f t="shared" si="31"/>
        <v>28320</v>
      </c>
      <c r="O51" s="107">
        <f t="shared" si="31"/>
        <v>28800</v>
      </c>
      <c r="P51" s="107">
        <f t="shared" si="31"/>
        <v>29280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3000</v>
      </c>
      <c r="E52" s="107">
        <f>IF(E$182=0,0,(SUMIFS(E$188:E$196,$A$188:$A$196,$A42)+SUMIFS(E$188:E$196,$A$188:$A$196,$A43))*$D52)</f>
        <v>0</v>
      </c>
      <c r="F52" s="107">
        <f t="shared" ref="F52:P52" si="32">IF(F$182=0,0,(SUMIFS(F$188:F$196,$A$188:$A$196,$A42)+SUMIFS(F$188:F$196,$A$188:$A$196,$A43))*$D52)</f>
        <v>0</v>
      </c>
      <c r="G52" s="107">
        <f t="shared" si="32"/>
        <v>0</v>
      </c>
      <c r="H52" s="107">
        <f t="shared" si="32"/>
        <v>0</v>
      </c>
      <c r="I52" s="107">
        <f t="shared" si="32"/>
        <v>0</v>
      </c>
      <c r="J52" s="107">
        <f t="shared" si="32"/>
        <v>0</v>
      </c>
      <c r="K52" s="107">
        <f t="shared" si="32"/>
        <v>0</v>
      </c>
      <c r="L52" s="107">
        <f t="shared" si="32"/>
        <v>1500</v>
      </c>
      <c r="M52" s="107">
        <f t="shared" si="32"/>
        <v>1500</v>
      </c>
      <c r="N52" s="107">
        <f t="shared" si="32"/>
        <v>1500</v>
      </c>
      <c r="O52" s="107">
        <f t="shared" si="32"/>
        <v>1500</v>
      </c>
      <c r="P52" s="107">
        <f t="shared" si="32"/>
        <v>1500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3000</v>
      </c>
      <c r="E53" s="107">
        <f>IF(E$182=0,0,(SUMIFS(E$188:E$196,$A$188:$A$196,$A45)+SUMIFS(E$188:E$196,$A$188:$A$196,$A46))*$D53)</f>
        <v>3000</v>
      </c>
      <c r="F53" s="107">
        <f t="shared" ref="F53:P53" si="33">IF(F$182=0,0,(SUMIFS(F$188:F$196,$A$188:$A$196,$A45)+SUMIFS(F$188:F$196,$A$188:$A$196,$A46))*$D53)</f>
        <v>3000</v>
      </c>
      <c r="G53" s="107">
        <f t="shared" si="33"/>
        <v>3000</v>
      </c>
      <c r="H53" s="107">
        <f t="shared" si="33"/>
        <v>3000</v>
      </c>
      <c r="I53" s="107">
        <f t="shared" si="33"/>
        <v>3000</v>
      </c>
      <c r="J53" s="107">
        <f t="shared" si="33"/>
        <v>3000</v>
      </c>
      <c r="K53" s="107">
        <f t="shared" si="33"/>
        <v>3000</v>
      </c>
      <c r="L53" s="107">
        <f t="shared" si="33"/>
        <v>3000</v>
      </c>
      <c r="M53" s="107">
        <f t="shared" si="33"/>
        <v>3000</v>
      </c>
      <c r="N53" s="107">
        <f t="shared" si="33"/>
        <v>3000</v>
      </c>
      <c r="O53" s="107">
        <f t="shared" si="33"/>
        <v>3000</v>
      </c>
      <c r="P53" s="107">
        <f t="shared" si="33"/>
        <v>3000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3000</v>
      </c>
      <c r="E54" s="32">
        <f>IF(E$182=0,0,(SUMIFS(E$188:E$196,$A$188:$A$196,$A48)+SUMIFS(E$188:E$196,$A$188:$A$196,$A49))*$D54)</f>
        <v>0</v>
      </c>
      <c r="F54" s="32">
        <f t="shared" ref="F54:P54" si="34">IF(F$182=0,0,(SUMIFS(F$188:F$196,$A$188:$A$196,$A48)+SUMIFS(F$188:F$196,$A$188:$A$196,$A49))*$D54)</f>
        <v>3000</v>
      </c>
      <c r="G54" s="32">
        <f t="shared" si="34"/>
        <v>3000</v>
      </c>
      <c r="H54" s="32">
        <f t="shared" si="34"/>
        <v>3000</v>
      </c>
      <c r="I54" s="32">
        <f t="shared" si="34"/>
        <v>3000</v>
      </c>
      <c r="J54" s="32">
        <f t="shared" si="34"/>
        <v>3000</v>
      </c>
      <c r="K54" s="32">
        <f t="shared" si="34"/>
        <v>3000</v>
      </c>
      <c r="L54" s="32">
        <f t="shared" si="34"/>
        <v>3000</v>
      </c>
      <c r="M54" s="32">
        <f t="shared" si="34"/>
        <v>3000</v>
      </c>
      <c r="N54" s="32">
        <f t="shared" si="34"/>
        <v>3000</v>
      </c>
      <c r="O54" s="32">
        <f t="shared" si="34"/>
        <v>3000</v>
      </c>
      <c r="P54" s="32">
        <f t="shared" si="34"/>
        <v>3000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107">
        <f>E54+E53+E52+E51+E50+E47+E44</f>
        <v>91539.5</v>
      </c>
      <c r="F55" s="107">
        <f t="shared" ref="F55:P55" si="35">F54+F53+F52+F51+F50+F47+F44</f>
        <v>155259.2316</v>
      </c>
      <c r="G55" s="107">
        <f t="shared" si="35"/>
        <v>165985.88319999998</v>
      </c>
      <c r="H55" s="107">
        <f t="shared" si="35"/>
        <v>169062.53479999999</v>
      </c>
      <c r="I55" s="107">
        <f t="shared" si="35"/>
        <v>172139.18640000001</v>
      </c>
      <c r="J55" s="107">
        <f t="shared" si="35"/>
        <v>175215.83800000002</v>
      </c>
      <c r="K55" s="107">
        <f t="shared" si="35"/>
        <v>178292.48960000003</v>
      </c>
      <c r="L55" s="107">
        <f t="shared" si="35"/>
        <v>218759.46765000001</v>
      </c>
      <c r="M55" s="107">
        <f t="shared" si="35"/>
        <v>222465.77409999998</v>
      </c>
      <c r="N55" s="107">
        <f t="shared" si="35"/>
        <v>226172.08054999998</v>
      </c>
      <c r="O55" s="107">
        <f t="shared" si="35"/>
        <v>229878.38700000002</v>
      </c>
      <c r="P55" s="107">
        <f t="shared" si="35"/>
        <v>233584.69345000002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107">
        <f>IF(E$182=0,0,SUMIFS(E$42:E$54,$A$42:$A$54,6111)*$D56)</f>
        <v>0</v>
      </c>
      <c r="F56" s="107">
        <f t="shared" ref="F56:P56" si="36">IF(F$182=0,0,SUMIFS(F$42:F$54,$A$42:$A$54,6111)*$D56)</f>
        <v>0</v>
      </c>
      <c r="G56" s="107">
        <f t="shared" si="36"/>
        <v>0</v>
      </c>
      <c r="H56" s="107">
        <f t="shared" si="36"/>
        <v>0</v>
      </c>
      <c r="I56" s="107">
        <f t="shared" si="36"/>
        <v>0</v>
      </c>
      <c r="J56" s="107">
        <f t="shared" si="36"/>
        <v>0</v>
      </c>
      <c r="K56" s="107">
        <f t="shared" si="36"/>
        <v>0</v>
      </c>
      <c r="L56" s="107">
        <f t="shared" si="36"/>
        <v>197.39679547500003</v>
      </c>
      <c r="M56" s="107">
        <f t="shared" si="36"/>
        <v>200.85989714999999</v>
      </c>
      <c r="N56" s="107">
        <f t="shared" si="36"/>
        <v>204.32299882499998</v>
      </c>
      <c r="O56" s="107">
        <f t="shared" si="36"/>
        <v>207.7861005</v>
      </c>
      <c r="P56" s="107">
        <f t="shared" si="36"/>
        <v>211.24920217500002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107">
        <f>IF(E$182=0,0,SUMIFS(E$42:E$54,$A$42:$A$54,6114)*$D57)</f>
        <v>462.21724999999998</v>
      </c>
      <c r="F57" s="107">
        <f t="shared" ref="F57:P57" si="37">IF(F$182=0,0,SUMIFS(F$42:F$54,$A$42:$A$54,6114)*$D57)</f>
        <v>471.46159500000005</v>
      </c>
      <c r="G57" s="107">
        <f t="shared" si="37"/>
        <v>480.70594</v>
      </c>
      <c r="H57" s="107">
        <f t="shared" si="37"/>
        <v>489.95028499999995</v>
      </c>
      <c r="I57" s="107">
        <f t="shared" si="37"/>
        <v>499.19463000000002</v>
      </c>
      <c r="J57" s="107">
        <f t="shared" si="37"/>
        <v>508.43897500000003</v>
      </c>
      <c r="K57" s="107">
        <f t="shared" si="37"/>
        <v>517.68332000000009</v>
      </c>
      <c r="L57" s="107">
        <f t="shared" si="37"/>
        <v>526.92766500000005</v>
      </c>
      <c r="M57" s="107">
        <f t="shared" si="37"/>
        <v>536.17201</v>
      </c>
      <c r="N57" s="107">
        <f t="shared" si="37"/>
        <v>545.41635499999995</v>
      </c>
      <c r="O57" s="107">
        <f t="shared" si="37"/>
        <v>554.66070000000002</v>
      </c>
      <c r="P57" s="107">
        <f t="shared" si="37"/>
        <v>563.90504499999997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IF(E$182=0,0,(SUMIFS(E$42:E$54,$A$42:$A$54,6117)+SUMIFS(E$42:E$54,$A$42:$A$54,6117))*$D58)</f>
        <v>0</v>
      </c>
      <c r="F58" s="6">
        <f t="shared" ref="F58:P58" si="38">IF(F$182=0,0,(SUMIFS(F$42:F$54,$A$42:$A$54,6117)+SUMIFS(F$42:F$54,$A$42:$A$54,6117))*$D58)</f>
        <v>513.79835759999992</v>
      </c>
      <c r="G58" s="6">
        <f t="shared" si="38"/>
        <v>523.87283519999994</v>
      </c>
      <c r="H58" s="6">
        <f t="shared" si="38"/>
        <v>533.94731279999996</v>
      </c>
      <c r="I58" s="6">
        <f t="shared" si="38"/>
        <v>544.02179039999999</v>
      </c>
      <c r="J58" s="6">
        <f t="shared" si="38"/>
        <v>554.09626800000001</v>
      </c>
      <c r="K58" s="6">
        <f t="shared" si="38"/>
        <v>564.17074560000003</v>
      </c>
      <c r="L58" s="6">
        <f t="shared" si="38"/>
        <v>574.24522320000005</v>
      </c>
      <c r="M58" s="6">
        <f t="shared" si="38"/>
        <v>584.31970079999996</v>
      </c>
      <c r="N58" s="6">
        <f t="shared" si="38"/>
        <v>594.39417839999999</v>
      </c>
      <c r="O58" s="6">
        <f t="shared" si="38"/>
        <v>604.46865600000001</v>
      </c>
      <c r="P58" s="6">
        <f t="shared" si="38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279</v>
      </c>
      <c r="F59" s="6">
        <f t="shared" ref="F59:P59" si="39">IF(F$182=0,0,SUMIFS(F$42:F$54,$A$42:$A$54,6127)*$D59)</f>
        <v>1043.46</v>
      </c>
      <c r="G59" s="6">
        <f t="shared" si="39"/>
        <v>1547.52</v>
      </c>
      <c r="H59" s="6">
        <f t="shared" si="39"/>
        <v>1577.28</v>
      </c>
      <c r="I59" s="6">
        <f t="shared" si="39"/>
        <v>1607.04</v>
      </c>
      <c r="J59" s="6">
        <f t="shared" si="39"/>
        <v>1636.8000000000002</v>
      </c>
      <c r="K59" s="6">
        <f t="shared" si="39"/>
        <v>1666.5600000000002</v>
      </c>
      <c r="L59" s="6">
        <f t="shared" si="39"/>
        <v>1696.3200000000002</v>
      </c>
      <c r="M59" s="6">
        <f t="shared" si="39"/>
        <v>1726.0799999999997</v>
      </c>
      <c r="N59" s="6">
        <f t="shared" si="39"/>
        <v>1755.84</v>
      </c>
      <c r="O59" s="6">
        <f t="shared" si="39"/>
        <v>1785.6</v>
      </c>
      <c r="P59" s="6">
        <f t="shared" si="39"/>
        <v>1815.36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IF(E$182=0,0,SUMIFS(E$42:E$54,$A$42:$A$54,$A42)*($D60*1+E6))</f>
        <v>0</v>
      </c>
      <c r="F60" s="6">
        <f t="shared" si="40"/>
        <v>0</v>
      </c>
      <c r="G60" s="6">
        <f t="shared" si="40"/>
        <v>0</v>
      </c>
      <c r="H60" s="6">
        <f t="shared" si="40"/>
        <v>0</v>
      </c>
      <c r="I60" s="6">
        <f t="shared" si="40"/>
        <v>0</v>
      </c>
      <c r="J60" s="6">
        <f t="shared" si="40"/>
        <v>0</v>
      </c>
      <c r="K60" s="6">
        <f t="shared" si="40"/>
        <v>0</v>
      </c>
      <c r="L60" s="6">
        <f t="shared" si="40"/>
        <v>5473.274783625001</v>
      </c>
      <c r="M60" s="6">
        <f t="shared" si="40"/>
        <v>5569.2971482499997</v>
      </c>
      <c r="N60" s="6">
        <f t="shared" si="40"/>
        <v>5665.3195128749994</v>
      </c>
      <c r="O60" s="6">
        <f t="shared" si="40"/>
        <v>5761.3418775000009</v>
      </c>
      <c r="P60" s="6">
        <f t="shared" si="40"/>
        <v>5857.3642421250006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IF(E$182=0,0,SUMIFS(E$42:E$54,$A$42:$A$54,$A43)*($D61*1+E6))</f>
        <v>0</v>
      </c>
      <c r="F61" s="6">
        <f t="shared" si="41"/>
        <v>0</v>
      </c>
      <c r="G61" s="6">
        <f t="shared" si="41"/>
        <v>0</v>
      </c>
      <c r="H61" s="6">
        <f t="shared" si="41"/>
        <v>0</v>
      </c>
      <c r="I61" s="6">
        <f t="shared" si="41"/>
        <v>0</v>
      </c>
      <c r="J61" s="6">
        <f t="shared" si="41"/>
        <v>0</v>
      </c>
      <c r="K61" s="6">
        <f t="shared" si="41"/>
        <v>0</v>
      </c>
      <c r="L61" s="6">
        <f t="shared" si="41"/>
        <v>0</v>
      </c>
      <c r="M61" s="6">
        <f t="shared" si="41"/>
        <v>0</v>
      </c>
      <c r="N61" s="6">
        <f t="shared" si="41"/>
        <v>0</v>
      </c>
      <c r="O61" s="6">
        <f t="shared" si="41"/>
        <v>0</v>
      </c>
      <c r="P61" s="6">
        <f t="shared" si="41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0</v>
      </c>
      <c r="F62" s="6">
        <f t="shared" ref="F62:P62" si="42">SUM(F60:F61)</f>
        <v>0</v>
      </c>
      <c r="G62" s="6">
        <f t="shared" si="42"/>
        <v>0</v>
      </c>
      <c r="H62" s="6">
        <f t="shared" si="42"/>
        <v>0</v>
      </c>
      <c r="I62" s="6">
        <f t="shared" si="42"/>
        <v>0</v>
      </c>
      <c r="J62" s="6">
        <f t="shared" si="42"/>
        <v>0</v>
      </c>
      <c r="K62" s="6">
        <f t="shared" si="42"/>
        <v>0</v>
      </c>
      <c r="L62" s="6">
        <f t="shared" si="42"/>
        <v>5473.274783625001</v>
      </c>
      <c r="M62" s="6">
        <f t="shared" si="42"/>
        <v>5569.2971482499997</v>
      </c>
      <c r="N62" s="6">
        <f t="shared" si="42"/>
        <v>5665.3195128749994</v>
      </c>
      <c r="O62" s="6">
        <f t="shared" si="42"/>
        <v>5761.3418775000009</v>
      </c>
      <c r="P62" s="6">
        <f t="shared" si="42"/>
        <v>5857.3642421250006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3">IF(E$182=0,0,SUMIFS(E$42:E$54,$A$42:$A$54,$A45)*($D63*1+E6))</f>
        <v>0</v>
      </c>
      <c r="F63" s="6">
        <f t="shared" si="43"/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5"/>
      <c r="D64" s="95">
        <v>0.28000000000000003</v>
      </c>
      <c r="E64" s="6">
        <f t="shared" ref="E64:P64" si="44">IF(E$182=0,0,SUMIFS(E$42:E$54,$A$42:$A$54,$A46)*($D64*1+E6))</f>
        <v>23531.06</v>
      </c>
      <c r="F64" s="6">
        <f t="shared" si="44"/>
        <v>24644.583375000006</v>
      </c>
      <c r="G64" s="6">
        <f t="shared" si="44"/>
        <v>25127.810500000003</v>
      </c>
      <c r="H64" s="6">
        <f t="shared" si="44"/>
        <v>25611.037625000001</v>
      </c>
      <c r="I64" s="6">
        <f t="shared" si="44"/>
        <v>26094.264750000006</v>
      </c>
      <c r="J64" s="6">
        <f t="shared" si="44"/>
        <v>26577.491875000007</v>
      </c>
      <c r="K64" s="6">
        <f t="shared" si="44"/>
        <v>27060.719000000008</v>
      </c>
      <c r="L64" s="6">
        <f t="shared" si="44"/>
        <v>27543.946125000006</v>
      </c>
      <c r="M64" s="6">
        <f t="shared" si="44"/>
        <v>28027.173250000003</v>
      </c>
      <c r="N64" s="6">
        <f t="shared" si="44"/>
        <v>28510.400375000005</v>
      </c>
      <c r="O64" s="6">
        <f t="shared" si="44"/>
        <v>28993.627500000006</v>
      </c>
      <c r="P64" s="6">
        <f t="shared" si="44"/>
        <v>29476.854625000004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5">SUM(E63:E64)</f>
        <v>23531.06</v>
      </c>
      <c r="F65" s="6">
        <f t="shared" si="45"/>
        <v>24644.583375000006</v>
      </c>
      <c r="G65" s="6">
        <f t="shared" si="45"/>
        <v>25127.810500000003</v>
      </c>
      <c r="H65" s="6">
        <f t="shared" si="45"/>
        <v>25611.037625000001</v>
      </c>
      <c r="I65" s="6">
        <f t="shared" si="45"/>
        <v>26094.264750000006</v>
      </c>
      <c r="J65" s="6">
        <f t="shared" si="45"/>
        <v>26577.491875000007</v>
      </c>
      <c r="K65" s="6">
        <f t="shared" si="45"/>
        <v>27060.719000000008</v>
      </c>
      <c r="L65" s="6">
        <f t="shared" si="45"/>
        <v>27543.946125000006</v>
      </c>
      <c r="M65" s="6">
        <f t="shared" si="45"/>
        <v>28027.173250000003</v>
      </c>
      <c r="N65" s="6">
        <f t="shared" si="45"/>
        <v>28510.400375000005</v>
      </c>
      <c r="O65" s="6">
        <f t="shared" si="45"/>
        <v>28993.627500000006</v>
      </c>
      <c r="P65" s="6">
        <f t="shared" si="45"/>
        <v>29476.854625000004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6">IF(E$182=0,0,SUMIFS(E$42:E$54,$A$42:$A$54,$A48)*($D66*1+E6))</f>
        <v>0</v>
      </c>
      <c r="F66" s="6">
        <f t="shared" si="46"/>
        <v>7123.1135939999995</v>
      </c>
      <c r="G66" s="6">
        <f t="shared" si="46"/>
        <v>7262.7824879999998</v>
      </c>
      <c r="H66" s="6">
        <f t="shared" si="46"/>
        <v>7402.4513819999993</v>
      </c>
      <c r="I66" s="6">
        <f t="shared" si="46"/>
        <v>7542.1202760000006</v>
      </c>
      <c r="J66" s="6">
        <f t="shared" si="46"/>
        <v>7681.78917</v>
      </c>
      <c r="K66" s="6">
        <f t="shared" si="46"/>
        <v>7821.4580640000013</v>
      </c>
      <c r="L66" s="6">
        <f t="shared" si="46"/>
        <v>7961.1269580000007</v>
      </c>
      <c r="M66" s="6">
        <f t="shared" si="46"/>
        <v>8100.7958520000002</v>
      </c>
      <c r="N66" s="6">
        <f t="shared" si="46"/>
        <v>8240.4647459999996</v>
      </c>
      <c r="O66" s="6">
        <f t="shared" si="46"/>
        <v>8380.13364</v>
      </c>
      <c r="P66" s="6">
        <f t="shared" si="46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7">IF(E$182=0,0,SUMIFS(E$42:E$54,$A$42:$A$54,$A49)*($D67*1+E6))</f>
        <v>0</v>
      </c>
      <c r="F67" s="6">
        <f t="shared" si="47"/>
        <v>0</v>
      </c>
      <c r="G67" s="6">
        <f t="shared" si="47"/>
        <v>0</v>
      </c>
      <c r="H67" s="6">
        <f t="shared" si="47"/>
        <v>0</v>
      </c>
      <c r="I67" s="6">
        <f t="shared" si="47"/>
        <v>0</v>
      </c>
      <c r="J67" s="6">
        <f t="shared" si="47"/>
        <v>0</v>
      </c>
      <c r="K67" s="6">
        <f t="shared" si="47"/>
        <v>0</v>
      </c>
      <c r="L67" s="6">
        <f t="shared" si="47"/>
        <v>0</v>
      </c>
      <c r="M67" s="6">
        <f t="shared" si="47"/>
        <v>0</v>
      </c>
      <c r="N67" s="6">
        <f t="shared" si="47"/>
        <v>0</v>
      </c>
      <c r="O67" s="6">
        <f t="shared" si="47"/>
        <v>0</v>
      </c>
      <c r="P67" s="6">
        <f t="shared" si="47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0</v>
      </c>
      <c r="F68" s="6">
        <f t="shared" ref="F68:P68" si="48">SUM(F66:F67)</f>
        <v>7123.1135939999995</v>
      </c>
      <c r="G68" s="6">
        <f t="shared" si="48"/>
        <v>7262.7824879999998</v>
      </c>
      <c r="H68" s="6">
        <f t="shared" si="48"/>
        <v>7402.4513819999993</v>
      </c>
      <c r="I68" s="6">
        <f t="shared" si="48"/>
        <v>7542.1202760000006</v>
      </c>
      <c r="J68" s="6">
        <f t="shared" si="48"/>
        <v>7681.78917</v>
      </c>
      <c r="K68" s="6">
        <f t="shared" si="48"/>
        <v>7821.4580640000013</v>
      </c>
      <c r="L68" s="6">
        <f t="shared" si="48"/>
        <v>7961.1269580000007</v>
      </c>
      <c r="M68" s="6">
        <f t="shared" si="48"/>
        <v>8100.7958520000002</v>
      </c>
      <c r="N68" s="6">
        <f t="shared" si="48"/>
        <v>8240.4647459999996</v>
      </c>
      <c r="O68" s="6">
        <f t="shared" si="48"/>
        <v>8380.13364</v>
      </c>
      <c r="P68" s="6">
        <f t="shared" si="48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0</v>
      </c>
      <c r="F69" s="6">
        <f t="shared" ref="F69:P69" si="49">IF(F$182=0,0,SUMIFS(F$42:F$54,$A$42:$A$54,$A44)*$D69)</f>
        <v>0</v>
      </c>
      <c r="G69" s="6">
        <f t="shared" si="49"/>
        <v>0</v>
      </c>
      <c r="H69" s="6">
        <f t="shared" si="49"/>
        <v>0</v>
      </c>
      <c r="I69" s="6">
        <f t="shared" si="49"/>
        <v>0</v>
      </c>
      <c r="J69" s="6">
        <f t="shared" si="49"/>
        <v>0</v>
      </c>
      <c r="K69" s="6">
        <f t="shared" si="49"/>
        <v>0</v>
      </c>
      <c r="L69" s="6">
        <f t="shared" si="49"/>
        <v>520.40973352500009</v>
      </c>
      <c r="M69" s="6">
        <f t="shared" si="49"/>
        <v>529.53972885000007</v>
      </c>
      <c r="N69" s="6">
        <f t="shared" si="49"/>
        <v>538.66972417500006</v>
      </c>
      <c r="O69" s="6">
        <f t="shared" si="49"/>
        <v>547.79971950000015</v>
      </c>
      <c r="P69" s="6">
        <f t="shared" si="49"/>
        <v>556.92971482500013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1218.57275</v>
      </c>
      <c r="F70" s="6">
        <f t="shared" ref="F70:P70" si="50">IF(F$182=0,0,SUMIFS(F$42:F$54,$A$42:$A$54,$A47)*$D70)</f>
        <v>1242.9442050000002</v>
      </c>
      <c r="G70" s="6">
        <f t="shared" si="50"/>
        <v>1267.31566</v>
      </c>
      <c r="H70" s="6">
        <f t="shared" si="50"/>
        <v>1291.6871149999999</v>
      </c>
      <c r="I70" s="6">
        <f t="shared" si="50"/>
        <v>1316.0585700000001</v>
      </c>
      <c r="J70" s="6">
        <f t="shared" si="50"/>
        <v>1340.4300250000003</v>
      </c>
      <c r="K70" s="6">
        <f t="shared" si="50"/>
        <v>1364.8014800000003</v>
      </c>
      <c r="L70" s="6">
        <f t="shared" si="50"/>
        <v>1389.1729350000003</v>
      </c>
      <c r="M70" s="6">
        <f t="shared" si="50"/>
        <v>1413.5443900000002</v>
      </c>
      <c r="N70" s="6">
        <f t="shared" si="50"/>
        <v>1437.915845</v>
      </c>
      <c r="O70" s="6">
        <f t="shared" si="50"/>
        <v>1462.2873000000002</v>
      </c>
      <c r="P70" s="6">
        <f t="shared" si="50"/>
        <v>1486.6587550000002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65.25</v>
      </c>
      <c r="F71" s="6">
        <f t="shared" ref="F71:P71" si="51">IF(F$182=0,0,((SUMIFS(F$42:F$54,$A$42:$A$54,$A50))+(SUMIFS(F$42:F$54,$A$42:$A$54,$A51)))*$D71)</f>
        <v>921.31465320000007</v>
      </c>
      <c r="G71" s="6">
        <f t="shared" si="51"/>
        <v>1052.4796463999999</v>
      </c>
      <c r="H71" s="6">
        <f t="shared" si="51"/>
        <v>1072.7196395999999</v>
      </c>
      <c r="I71" s="6">
        <f t="shared" si="51"/>
        <v>1092.9596328</v>
      </c>
      <c r="J71" s="6">
        <f t="shared" si="51"/>
        <v>1113.1996260000001</v>
      </c>
      <c r="K71" s="6">
        <f t="shared" si="51"/>
        <v>1133.4396192000002</v>
      </c>
      <c r="L71" s="6">
        <f t="shared" si="51"/>
        <v>1153.6796124000002</v>
      </c>
      <c r="M71" s="6">
        <f t="shared" si="51"/>
        <v>1173.9196056000001</v>
      </c>
      <c r="N71" s="6">
        <f t="shared" si="51"/>
        <v>1194.1595987999999</v>
      </c>
      <c r="O71" s="6">
        <f t="shared" si="51"/>
        <v>1214.399592</v>
      </c>
      <c r="P71" s="6">
        <f t="shared" si="51"/>
        <v>1234.6395852000001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0</v>
      </c>
      <c r="F72" s="6">
        <f t="shared" ref="F72:P72" si="52">IF(F$182=0,0,SUMIFS(F$42:F$54,$A$42:$A$54,$A44)*$D72)</f>
        <v>0</v>
      </c>
      <c r="G72" s="6">
        <f t="shared" si="52"/>
        <v>0</v>
      </c>
      <c r="H72" s="6">
        <f t="shared" si="52"/>
        <v>0</v>
      </c>
      <c r="I72" s="6">
        <f t="shared" si="52"/>
        <v>0</v>
      </c>
      <c r="J72" s="6">
        <f t="shared" si="52"/>
        <v>0</v>
      </c>
      <c r="K72" s="6">
        <f t="shared" si="52"/>
        <v>0</v>
      </c>
      <c r="L72" s="6">
        <f t="shared" si="52"/>
        <v>358.90326450000009</v>
      </c>
      <c r="M72" s="6">
        <f t="shared" si="52"/>
        <v>365.19981300000001</v>
      </c>
      <c r="N72" s="6">
        <f t="shared" si="52"/>
        <v>371.49636149999998</v>
      </c>
      <c r="O72" s="6">
        <f t="shared" si="52"/>
        <v>377.79291000000006</v>
      </c>
      <c r="P72" s="6">
        <f t="shared" si="52"/>
        <v>384.08945850000003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840.39499999999998</v>
      </c>
      <c r="F73" s="6">
        <f t="shared" ref="F73:P73" si="53">IF(F$182=0,0,SUMIFS(F$42:F$54,$A$42:$A$54,$A47)*$D73)</f>
        <v>857.20290000000011</v>
      </c>
      <c r="G73" s="6">
        <f t="shared" si="53"/>
        <v>874.01080000000002</v>
      </c>
      <c r="H73" s="6">
        <f t="shared" si="53"/>
        <v>890.81869999999992</v>
      </c>
      <c r="I73" s="6">
        <f t="shared" si="53"/>
        <v>907.62660000000005</v>
      </c>
      <c r="J73" s="6">
        <f t="shared" si="53"/>
        <v>924.43450000000018</v>
      </c>
      <c r="K73" s="6">
        <f t="shared" si="53"/>
        <v>941.2424000000002</v>
      </c>
      <c r="L73" s="6">
        <f t="shared" si="53"/>
        <v>958.05030000000011</v>
      </c>
      <c r="M73" s="6">
        <f t="shared" si="53"/>
        <v>974.85820000000012</v>
      </c>
      <c r="N73" s="6">
        <f t="shared" si="53"/>
        <v>991.66610000000003</v>
      </c>
      <c r="O73" s="6">
        <f t="shared" si="53"/>
        <v>1008.4740000000002</v>
      </c>
      <c r="P73" s="6">
        <f t="shared" si="53"/>
        <v>1025.2819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45</v>
      </c>
      <c r="F74" s="6">
        <f t="shared" ref="F74:P74" si="54">IF(F$182=0,0,((SUMIFS(F$42:F$54,$A$42:$A$54,$A50))+(SUMIFS(F$42:F$54,$A$42:$A$54,B51)))*$D74)</f>
        <v>467.08941599999997</v>
      </c>
      <c r="G74" s="6">
        <f t="shared" si="54"/>
        <v>476.24803200000002</v>
      </c>
      <c r="H74" s="6">
        <f t="shared" si="54"/>
        <v>485.40664800000002</v>
      </c>
      <c r="I74" s="6">
        <f t="shared" si="54"/>
        <v>494.56526400000001</v>
      </c>
      <c r="J74" s="6">
        <f t="shared" si="54"/>
        <v>503.72388000000001</v>
      </c>
      <c r="K74" s="6">
        <f t="shared" si="54"/>
        <v>512.88249600000006</v>
      </c>
      <c r="L74" s="6">
        <f t="shared" si="54"/>
        <v>522.04111200000011</v>
      </c>
      <c r="M74" s="6">
        <f t="shared" si="54"/>
        <v>531.19972800000005</v>
      </c>
      <c r="N74" s="6">
        <f t="shared" si="54"/>
        <v>540.35834399999999</v>
      </c>
      <c r="O74" s="6">
        <f t="shared" si="54"/>
        <v>549.51696000000004</v>
      </c>
      <c r="P74" s="6">
        <f t="shared" si="54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IF(E$182=0,0,SUMIFS(E$42:E$54,$A$42:$A$54,$A44)*$D75)</f>
        <v>0</v>
      </c>
      <c r="F75" s="6">
        <f t="shared" ref="F75:P75" si="55">IF(F$182=0,0,SUMIFS(F$42:F$54,$A$42:$A$54,$A44)*$D75)</f>
        <v>0</v>
      </c>
      <c r="G75" s="6">
        <f t="shared" si="55"/>
        <v>0</v>
      </c>
      <c r="H75" s="6">
        <f t="shared" si="55"/>
        <v>0</v>
      </c>
      <c r="I75" s="6">
        <f t="shared" si="55"/>
        <v>0</v>
      </c>
      <c r="J75" s="6">
        <f t="shared" si="55"/>
        <v>0</v>
      </c>
      <c r="K75" s="6">
        <f t="shared" si="55"/>
        <v>0</v>
      </c>
      <c r="L75" s="6">
        <f t="shared" si="55"/>
        <v>251.23228515000005</v>
      </c>
      <c r="M75" s="6">
        <f t="shared" si="55"/>
        <v>255.6398691</v>
      </c>
      <c r="N75" s="6">
        <f t="shared" si="55"/>
        <v>260.04745305</v>
      </c>
      <c r="O75" s="6">
        <f t="shared" si="55"/>
        <v>264.45503700000006</v>
      </c>
      <c r="P75" s="6">
        <f t="shared" si="55"/>
        <v>268.86262095000001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588.27650000000006</v>
      </c>
      <c r="F76" s="6">
        <f t="shared" ref="F76:P76" si="56">IF(F$182=0,0,SUMIFS(F$42:F$54,$A$42:$A$54,$A47)*$D76)</f>
        <v>600.04203000000007</v>
      </c>
      <c r="G76" s="6">
        <f t="shared" si="56"/>
        <v>611.80756000000008</v>
      </c>
      <c r="H76" s="6">
        <f t="shared" si="56"/>
        <v>623.57308999999998</v>
      </c>
      <c r="I76" s="6">
        <f t="shared" si="56"/>
        <v>635.33861999999999</v>
      </c>
      <c r="J76" s="6">
        <f t="shared" si="56"/>
        <v>647.10415000000012</v>
      </c>
      <c r="K76" s="6">
        <f t="shared" si="56"/>
        <v>658.86968000000013</v>
      </c>
      <c r="L76" s="6">
        <f t="shared" si="56"/>
        <v>670.63521000000014</v>
      </c>
      <c r="M76" s="6">
        <f t="shared" si="56"/>
        <v>682.40074000000004</v>
      </c>
      <c r="N76" s="6">
        <f t="shared" si="56"/>
        <v>694.16627000000005</v>
      </c>
      <c r="O76" s="6">
        <f t="shared" si="56"/>
        <v>705.93180000000007</v>
      </c>
      <c r="P76" s="6">
        <f t="shared" si="56"/>
        <v>717.69733000000008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31.5</v>
      </c>
      <c r="F77" s="6">
        <f t="shared" ref="F77:P77" si="57">IF(F$182=0,0,((SUMIFS(F$42:F$54,$A$42:$A$54,$A50))+(SUMIFS(F$42:F$54,$A$42:$A$54,$A51)))*$D77)</f>
        <v>444.77259120000002</v>
      </c>
      <c r="G77" s="6">
        <f t="shared" si="57"/>
        <v>508.09362239999996</v>
      </c>
      <c r="H77" s="6">
        <f t="shared" si="57"/>
        <v>517.8646536</v>
      </c>
      <c r="I77" s="6">
        <f t="shared" si="57"/>
        <v>527.63568480000004</v>
      </c>
      <c r="J77" s="6">
        <f t="shared" si="57"/>
        <v>537.40671600000007</v>
      </c>
      <c r="K77" s="6">
        <f t="shared" si="57"/>
        <v>547.17774720000011</v>
      </c>
      <c r="L77" s="6">
        <f t="shared" si="57"/>
        <v>556.94877840000015</v>
      </c>
      <c r="M77" s="6">
        <f t="shared" si="57"/>
        <v>566.71980960000008</v>
      </c>
      <c r="N77" s="6">
        <f t="shared" si="57"/>
        <v>576.4908408</v>
      </c>
      <c r="O77" s="6">
        <f t="shared" si="57"/>
        <v>586.26187200000004</v>
      </c>
      <c r="P77" s="6">
        <f t="shared" si="57"/>
        <v>596.03290319999996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IF(E$182=0,0,(E200*$D78*12)*(1+E9))</f>
        <v>0</v>
      </c>
      <c r="F78" s="6">
        <f t="shared" ref="F78:P78" si="58">IF(F$182=0,0,(F200*$D78*12)*(1+F9))</f>
        <v>0</v>
      </c>
      <c r="G78" s="6">
        <f t="shared" si="58"/>
        <v>0</v>
      </c>
      <c r="H78" s="6">
        <f t="shared" si="58"/>
        <v>0</v>
      </c>
      <c r="I78" s="6">
        <f t="shared" si="58"/>
        <v>0</v>
      </c>
      <c r="J78" s="6">
        <f t="shared" si="58"/>
        <v>0</v>
      </c>
      <c r="K78" s="6">
        <f t="shared" si="58"/>
        <v>0</v>
      </c>
      <c r="L78" s="6">
        <f t="shared" si="58"/>
        <v>2688</v>
      </c>
      <c r="M78" s="6">
        <f t="shared" si="58"/>
        <v>2772</v>
      </c>
      <c r="N78" s="6">
        <f t="shared" si="58"/>
        <v>2855.9999999999995</v>
      </c>
      <c r="O78" s="6">
        <f t="shared" si="58"/>
        <v>2940</v>
      </c>
      <c r="P78" s="6">
        <f t="shared" si="58"/>
        <v>3024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6">
        <f>IF(E$182=0,0,(E203*$D79*12)*(1+E9))</f>
        <v>4200</v>
      </c>
      <c r="F79" s="6">
        <f t="shared" ref="F79:P79" si="59">IF(F$182=0,0,(F203*$D79*12)*(1+F9))</f>
        <v>4368</v>
      </c>
      <c r="G79" s="6">
        <f t="shared" si="59"/>
        <v>4536</v>
      </c>
      <c r="H79" s="6">
        <f t="shared" si="59"/>
        <v>4704</v>
      </c>
      <c r="I79" s="6">
        <f t="shared" si="59"/>
        <v>4872</v>
      </c>
      <c r="J79" s="6">
        <f t="shared" si="59"/>
        <v>5040</v>
      </c>
      <c r="K79" s="6">
        <f t="shared" si="59"/>
        <v>5208</v>
      </c>
      <c r="L79" s="6">
        <f t="shared" si="59"/>
        <v>5376</v>
      </c>
      <c r="M79" s="6">
        <f t="shared" si="59"/>
        <v>5544</v>
      </c>
      <c r="N79" s="6">
        <f t="shared" si="59"/>
        <v>5711.9999999999991</v>
      </c>
      <c r="O79" s="6">
        <f t="shared" si="59"/>
        <v>5880</v>
      </c>
      <c r="P79" s="6">
        <f t="shared" si="59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32">
        <f>IF(E$182=0,0,(E204*$D80*12)*(1+E9))</f>
        <v>0</v>
      </c>
      <c r="F80" s="32">
        <f t="shared" ref="F80:P80" si="60">IF(F$182=0,0,(F204*$D80*12)*(1+F9))</f>
        <v>4368</v>
      </c>
      <c r="G80" s="32">
        <f t="shared" si="60"/>
        <v>4536</v>
      </c>
      <c r="H80" s="32">
        <f t="shared" si="60"/>
        <v>4704</v>
      </c>
      <c r="I80" s="32">
        <f t="shared" si="60"/>
        <v>4872</v>
      </c>
      <c r="J80" s="32">
        <f t="shared" si="60"/>
        <v>5040</v>
      </c>
      <c r="K80" s="32">
        <f t="shared" si="60"/>
        <v>5208</v>
      </c>
      <c r="L80" s="32">
        <f t="shared" si="60"/>
        <v>5376</v>
      </c>
      <c r="M80" s="32">
        <f t="shared" si="60"/>
        <v>5544</v>
      </c>
      <c r="N80" s="32">
        <f t="shared" si="60"/>
        <v>5711.9999999999991</v>
      </c>
      <c r="O80" s="32">
        <f t="shared" si="60"/>
        <v>5880</v>
      </c>
      <c r="P80" s="32">
        <f t="shared" si="60"/>
        <v>6048</v>
      </c>
    </row>
    <row r="81" spans="1:16" s="2" customFormat="1" collapsed="1" x14ac:dyDescent="0.25">
      <c r="A81" s="62">
        <v>200</v>
      </c>
      <c r="B81" s="18" t="s">
        <v>106</v>
      </c>
      <c r="C81" s="18"/>
      <c r="E81" s="154">
        <f>SUM(E56:E80)-E68-E65-E62</f>
        <v>31261.271499999999</v>
      </c>
      <c r="F81" s="154">
        <f t="shared" ref="F81:P81" si="61">SUM(F56:F80)-F68-F65-F62</f>
        <v>47065.782717000024</v>
      </c>
      <c r="G81" s="154">
        <f t="shared" si="61"/>
        <v>48804.647083999997</v>
      </c>
      <c r="H81" s="154">
        <f t="shared" si="61"/>
        <v>49904.736451000019</v>
      </c>
      <c r="I81" s="154">
        <f t="shared" si="61"/>
        <v>51004.825818000012</v>
      </c>
      <c r="J81" s="154">
        <f t="shared" si="61"/>
        <v>52104.915185000005</v>
      </c>
      <c r="K81" s="154">
        <f t="shared" si="61"/>
        <v>53205.004551999999</v>
      </c>
      <c r="L81" s="154">
        <f t="shared" si="61"/>
        <v>63794.310781275002</v>
      </c>
      <c r="M81" s="154">
        <f t="shared" si="61"/>
        <v>65097.719742350018</v>
      </c>
      <c r="N81" s="154">
        <f t="shared" si="61"/>
        <v>66401.128703425027</v>
      </c>
      <c r="O81" s="154">
        <f t="shared" si="61"/>
        <v>67704.537664500021</v>
      </c>
      <c r="P81" s="154">
        <f t="shared" si="61"/>
        <v>69007.946625575016</v>
      </c>
    </row>
    <row r="82" spans="1:16" s="2" customFormat="1" x14ac:dyDescent="0.25">
      <c r="A82" s="2">
        <v>300</v>
      </c>
      <c r="B82" s="18" t="s">
        <v>484</v>
      </c>
      <c r="C82" s="298" t="s">
        <v>703</v>
      </c>
      <c r="D82" s="164">
        <v>3</v>
      </c>
      <c r="E82" s="154">
        <f>IF(E$182=0,0,$D82*350)</f>
        <v>1050</v>
      </c>
      <c r="F82" s="154">
        <f t="shared" ref="F82:P82" si="62">IF(F$182=0,0,$D82*350)</f>
        <v>1050</v>
      </c>
      <c r="G82" s="154">
        <f t="shared" si="62"/>
        <v>1050</v>
      </c>
      <c r="H82" s="154">
        <f t="shared" si="62"/>
        <v>1050</v>
      </c>
      <c r="I82" s="154">
        <f t="shared" si="62"/>
        <v>1050</v>
      </c>
      <c r="J82" s="154">
        <f t="shared" si="62"/>
        <v>1050</v>
      </c>
      <c r="K82" s="154">
        <f t="shared" si="62"/>
        <v>1050</v>
      </c>
      <c r="L82" s="154">
        <f t="shared" si="62"/>
        <v>1050</v>
      </c>
      <c r="M82" s="154">
        <f t="shared" si="62"/>
        <v>1050</v>
      </c>
      <c r="N82" s="154">
        <f t="shared" si="62"/>
        <v>1050</v>
      </c>
      <c r="O82" s="154">
        <f t="shared" si="62"/>
        <v>1050</v>
      </c>
      <c r="P82" s="154">
        <f t="shared" si="62"/>
        <v>1050</v>
      </c>
    </row>
    <row r="83" spans="1:16" s="2" customFormat="1" x14ac:dyDescent="0.25">
      <c r="A83" s="2">
        <v>300</v>
      </c>
      <c r="B83" s="18" t="s">
        <v>755</v>
      </c>
      <c r="C83" s="2" t="s">
        <v>486</v>
      </c>
      <c r="D83" s="95">
        <v>0</v>
      </c>
      <c r="E83" s="154">
        <f>IF(E$182=0,0,($D83*E23)/$D$23)</f>
        <v>0</v>
      </c>
      <c r="F83" s="154">
        <f t="shared" ref="F83:P83" si="63">IF(F$182=0,0,($D83*F23)/$D$23)</f>
        <v>0</v>
      </c>
      <c r="G83" s="154">
        <f t="shared" si="63"/>
        <v>0</v>
      </c>
      <c r="H83" s="154">
        <f t="shared" si="63"/>
        <v>0</v>
      </c>
      <c r="I83" s="154">
        <f t="shared" si="63"/>
        <v>0</v>
      </c>
      <c r="J83" s="154">
        <f t="shared" si="63"/>
        <v>0</v>
      </c>
      <c r="K83" s="154">
        <f t="shared" si="63"/>
        <v>0</v>
      </c>
      <c r="L83" s="154">
        <f t="shared" si="63"/>
        <v>0</v>
      </c>
      <c r="M83" s="154">
        <f t="shared" si="63"/>
        <v>0</v>
      </c>
      <c r="N83" s="154">
        <f t="shared" si="63"/>
        <v>0</v>
      </c>
      <c r="O83" s="154">
        <f t="shared" si="63"/>
        <v>0</v>
      </c>
      <c r="P83" s="154">
        <f t="shared" si="63"/>
        <v>0</v>
      </c>
    </row>
    <row r="84" spans="1:16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54">
        <f>IF(E$182=0,0,($D84*E23)/$D$23)</f>
        <v>9497.25</v>
      </c>
      <c r="F84" s="154">
        <f t="shared" ref="F84:P84" si="64">IF(F$182=0,0,($D84*F23)/$D$23)</f>
        <v>13689.507</v>
      </c>
      <c r="G84" s="154">
        <f t="shared" si="64"/>
        <v>15761.032157812502</v>
      </c>
      <c r="H84" s="154">
        <f t="shared" si="64"/>
        <v>16401.353418005157</v>
      </c>
      <c r="I84" s="154">
        <f t="shared" si="64"/>
        <v>17361.040205027042</v>
      </c>
      <c r="J84" s="154">
        <f t="shared" si="64"/>
        <v>18334.199717724496</v>
      </c>
      <c r="K84" s="154">
        <f t="shared" si="64"/>
        <v>19427.139295725054</v>
      </c>
      <c r="L84" s="154">
        <f t="shared" si="64"/>
        <v>20535.441668661504</v>
      </c>
      <c r="M84" s="154">
        <f t="shared" si="64"/>
        <v>21767.033391654404</v>
      </c>
      <c r="N84" s="154">
        <f t="shared" si="64"/>
        <v>23015.943871898337</v>
      </c>
      <c r="O84" s="154">
        <f t="shared" si="64"/>
        <v>24391.743629995661</v>
      </c>
      <c r="P84" s="154">
        <f t="shared" si="64"/>
        <v>25786.885737621644</v>
      </c>
    </row>
    <row r="85" spans="1:16" s="2" customFormat="1" hidden="1" outlineLevel="1" x14ac:dyDescent="0.25">
      <c r="A85" s="62">
        <v>6300</v>
      </c>
      <c r="B85" s="18" t="s">
        <v>595</v>
      </c>
      <c r="C85" s="297" t="s">
        <v>752</v>
      </c>
      <c r="D85" s="164">
        <v>0</v>
      </c>
      <c r="E85" s="154">
        <f>IF(E$182=0,0,$D85*350)</f>
        <v>0</v>
      </c>
      <c r="F85" s="154">
        <f t="shared" ref="F85:P85" si="65">IF(F$182=0,0,$D85*350)</f>
        <v>0</v>
      </c>
      <c r="G85" s="154">
        <f t="shared" si="65"/>
        <v>0</v>
      </c>
      <c r="H85" s="154">
        <f t="shared" si="65"/>
        <v>0</v>
      </c>
      <c r="I85" s="154">
        <f t="shared" si="65"/>
        <v>0</v>
      </c>
      <c r="J85" s="154">
        <f t="shared" si="65"/>
        <v>0</v>
      </c>
      <c r="K85" s="154">
        <f t="shared" si="65"/>
        <v>0</v>
      </c>
      <c r="L85" s="154">
        <f t="shared" si="65"/>
        <v>0</v>
      </c>
      <c r="M85" s="154">
        <f t="shared" si="65"/>
        <v>0</v>
      </c>
      <c r="N85" s="154">
        <f t="shared" si="65"/>
        <v>0</v>
      </c>
      <c r="O85" s="154">
        <f t="shared" si="65"/>
        <v>0</v>
      </c>
      <c r="P85" s="154">
        <f t="shared" si="65"/>
        <v>0</v>
      </c>
    </row>
    <row r="86" spans="1:16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0</v>
      </c>
      <c r="E86" s="154">
        <f t="shared" ref="E86:P86" si="66">IF(E$182=0,0,ROUND(($D86*(1+E$5))*E$182,0))</f>
        <v>0</v>
      </c>
      <c r="F86" s="154">
        <f t="shared" si="66"/>
        <v>0</v>
      </c>
      <c r="G86" s="154">
        <f t="shared" si="66"/>
        <v>0</v>
      </c>
      <c r="H86" s="154">
        <f t="shared" si="66"/>
        <v>0</v>
      </c>
      <c r="I86" s="154">
        <f t="shared" si="66"/>
        <v>0</v>
      </c>
      <c r="J86" s="154">
        <f t="shared" si="66"/>
        <v>0</v>
      </c>
      <c r="K86" s="154">
        <f t="shared" si="66"/>
        <v>0</v>
      </c>
      <c r="L86" s="154">
        <f t="shared" si="66"/>
        <v>0</v>
      </c>
      <c r="M86" s="154">
        <f t="shared" si="66"/>
        <v>0</v>
      </c>
      <c r="N86" s="154">
        <f t="shared" si="66"/>
        <v>0</v>
      </c>
      <c r="O86" s="154">
        <f t="shared" si="66"/>
        <v>0</v>
      </c>
      <c r="P86" s="154">
        <f t="shared" si="66"/>
        <v>0</v>
      </c>
    </row>
    <row r="87" spans="1:16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10</v>
      </c>
      <c r="E87" s="154">
        <f>IF(E$182=0,0,$D87*10)</f>
        <v>100</v>
      </c>
      <c r="F87" s="154">
        <f t="shared" ref="F87:P87" si="67">IF(F$182=0,0,$D87*10)</f>
        <v>100</v>
      </c>
      <c r="G87" s="154">
        <f t="shared" si="67"/>
        <v>100</v>
      </c>
      <c r="H87" s="154">
        <f t="shared" si="67"/>
        <v>100</v>
      </c>
      <c r="I87" s="154">
        <f t="shared" si="67"/>
        <v>100</v>
      </c>
      <c r="J87" s="154">
        <f t="shared" si="67"/>
        <v>100</v>
      </c>
      <c r="K87" s="154">
        <f t="shared" si="67"/>
        <v>100</v>
      </c>
      <c r="L87" s="154">
        <f t="shared" si="67"/>
        <v>100</v>
      </c>
      <c r="M87" s="154">
        <f t="shared" si="67"/>
        <v>100</v>
      </c>
      <c r="N87" s="154">
        <f t="shared" si="67"/>
        <v>100</v>
      </c>
      <c r="O87" s="154">
        <f t="shared" si="67"/>
        <v>100</v>
      </c>
      <c r="P87" s="154">
        <f t="shared" si="67"/>
        <v>100</v>
      </c>
    </row>
    <row r="88" spans="1:16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10</v>
      </c>
      <c r="E88" s="154">
        <f>IF(E$182=0,0,$D88*25)</f>
        <v>250</v>
      </c>
      <c r="F88" s="154">
        <f t="shared" ref="F88:P88" si="68">IF(F$182=0,0,$D88*25)</f>
        <v>250</v>
      </c>
      <c r="G88" s="154">
        <f t="shared" si="68"/>
        <v>250</v>
      </c>
      <c r="H88" s="154">
        <f t="shared" si="68"/>
        <v>250</v>
      </c>
      <c r="I88" s="154">
        <f t="shared" si="68"/>
        <v>250</v>
      </c>
      <c r="J88" s="154">
        <f t="shared" si="68"/>
        <v>250</v>
      </c>
      <c r="K88" s="154">
        <f t="shared" si="68"/>
        <v>250</v>
      </c>
      <c r="L88" s="154">
        <f t="shared" si="68"/>
        <v>250</v>
      </c>
      <c r="M88" s="154">
        <f t="shared" si="68"/>
        <v>250</v>
      </c>
      <c r="N88" s="154">
        <f t="shared" si="68"/>
        <v>250</v>
      </c>
      <c r="O88" s="154">
        <f t="shared" si="68"/>
        <v>250</v>
      </c>
      <c r="P88" s="154">
        <f t="shared" si="68"/>
        <v>250</v>
      </c>
    </row>
    <row r="89" spans="1:16" s="2" customFormat="1" hidden="1" outlineLevel="1" x14ac:dyDescent="0.25">
      <c r="A89" s="62">
        <v>6300</v>
      </c>
      <c r="B89" s="18" t="s">
        <v>598</v>
      </c>
      <c r="C89" s="2" t="s">
        <v>599</v>
      </c>
      <c r="D89" s="164">
        <v>4</v>
      </c>
      <c r="E89" s="154">
        <f>IF(E$182=0,0,$D89*40)</f>
        <v>160</v>
      </c>
      <c r="F89" s="154">
        <f t="shared" ref="F89:P89" si="69">IF(F$182=0,0,$D89*40)</f>
        <v>160</v>
      </c>
      <c r="G89" s="154">
        <f t="shared" si="69"/>
        <v>160</v>
      </c>
      <c r="H89" s="154">
        <f t="shared" si="69"/>
        <v>160</v>
      </c>
      <c r="I89" s="154">
        <f t="shared" si="69"/>
        <v>160</v>
      </c>
      <c r="J89" s="154">
        <f t="shared" si="69"/>
        <v>160</v>
      </c>
      <c r="K89" s="154">
        <f t="shared" si="69"/>
        <v>160</v>
      </c>
      <c r="L89" s="154">
        <f t="shared" si="69"/>
        <v>160</v>
      </c>
      <c r="M89" s="154">
        <f t="shared" si="69"/>
        <v>160</v>
      </c>
      <c r="N89" s="154">
        <f t="shared" si="69"/>
        <v>160</v>
      </c>
      <c r="O89" s="154">
        <f t="shared" si="69"/>
        <v>160</v>
      </c>
      <c r="P89" s="154">
        <f t="shared" si="69"/>
        <v>160</v>
      </c>
    </row>
    <row r="90" spans="1:16" s="2" customFormat="1" hidden="1" outlineLevel="1" x14ac:dyDescent="0.25">
      <c r="A90" s="62">
        <v>6300</v>
      </c>
      <c r="B90" s="18" t="s">
        <v>600</v>
      </c>
      <c r="C90" s="2" t="s">
        <v>602</v>
      </c>
      <c r="D90" s="164">
        <v>8</v>
      </c>
      <c r="E90" s="154">
        <f>IF(E$182=0,0,$D90*55)</f>
        <v>440</v>
      </c>
      <c r="F90" s="154">
        <f t="shared" ref="F90:P90" si="70">IF(F$182=0,0,$D90*55)</f>
        <v>440</v>
      </c>
      <c r="G90" s="154">
        <f t="shared" si="70"/>
        <v>440</v>
      </c>
      <c r="H90" s="154">
        <f t="shared" si="70"/>
        <v>440</v>
      </c>
      <c r="I90" s="154">
        <f t="shared" si="70"/>
        <v>440</v>
      </c>
      <c r="J90" s="154">
        <f t="shared" si="70"/>
        <v>440</v>
      </c>
      <c r="K90" s="154">
        <f t="shared" si="70"/>
        <v>440</v>
      </c>
      <c r="L90" s="154">
        <f t="shared" si="70"/>
        <v>440</v>
      </c>
      <c r="M90" s="154">
        <f t="shared" si="70"/>
        <v>440</v>
      </c>
      <c r="N90" s="154">
        <f t="shared" si="70"/>
        <v>440</v>
      </c>
      <c r="O90" s="154">
        <f t="shared" si="70"/>
        <v>440</v>
      </c>
      <c r="P90" s="154">
        <f t="shared" si="70"/>
        <v>440</v>
      </c>
    </row>
    <row r="91" spans="1:16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11">
        <f>IF(E$182=0,0,$D91*50)</f>
        <v>0</v>
      </c>
      <c r="F91" s="11">
        <f t="shared" ref="F91:P91" si="71">IF(F$182=0,0,$D91*50)</f>
        <v>0</v>
      </c>
      <c r="G91" s="11">
        <f t="shared" si="71"/>
        <v>0</v>
      </c>
      <c r="H91" s="11">
        <f t="shared" si="71"/>
        <v>0</v>
      </c>
      <c r="I91" s="11">
        <f t="shared" si="71"/>
        <v>0</v>
      </c>
      <c r="J91" s="11">
        <f t="shared" si="71"/>
        <v>0</v>
      </c>
      <c r="K91" s="11">
        <f t="shared" si="71"/>
        <v>0</v>
      </c>
      <c r="L91" s="11">
        <f t="shared" si="71"/>
        <v>0</v>
      </c>
      <c r="M91" s="11">
        <f t="shared" si="71"/>
        <v>0</v>
      </c>
      <c r="N91" s="11">
        <f t="shared" si="71"/>
        <v>0</v>
      </c>
      <c r="O91" s="11">
        <f t="shared" si="71"/>
        <v>0</v>
      </c>
      <c r="P91" s="11">
        <f t="shared" si="71"/>
        <v>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154">
        <f>SUM(E85:E91)</f>
        <v>950</v>
      </c>
      <c r="F92" s="154">
        <f t="shared" ref="F92:P92" si="72">SUM(F85:F91)</f>
        <v>950</v>
      </c>
      <c r="G92" s="154">
        <f t="shared" si="72"/>
        <v>950</v>
      </c>
      <c r="H92" s="154">
        <f t="shared" si="72"/>
        <v>950</v>
      </c>
      <c r="I92" s="154">
        <f t="shared" si="72"/>
        <v>950</v>
      </c>
      <c r="J92" s="154">
        <f t="shared" si="72"/>
        <v>950</v>
      </c>
      <c r="K92" s="154">
        <f t="shared" si="72"/>
        <v>950</v>
      </c>
      <c r="L92" s="154">
        <f t="shared" si="72"/>
        <v>950</v>
      </c>
      <c r="M92" s="154">
        <f t="shared" si="72"/>
        <v>950</v>
      </c>
      <c r="N92" s="154">
        <f t="shared" si="72"/>
        <v>950</v>
      </c>
      <c r="O92" s="154">
        <f t="shared" si="72"/>
        <v>950</v>
      </c>
      <c r="P92" s="154">
        <f t="shared" si="72"/>
        <v>950</v>
      </c>
    </row>
    <row r="93" spans="1:16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154">
        <f t="shared" ref="E93:P94" si="73">IF(E$182=0,0,($D93*(1+E$5)))</f>
        <v>0</v>
      </c>
      <c r="F93" s="154">
        <f t="shared" si="73"/>
        <v>0</v>
      </c>
      <c r="G93" s="154">
        <f t="shared" si="73"/>
        <v>0</v>
      </c>
      <c r="H93" s="154">
        <f t="shared" si="73"/>
        <v>0</v>
      </c>
      <c r="I93" s="154">
        <f t="shared" si="73"/>
        <v>0</v>
      </c>
      <c r="J93" s="154">
        <f t="shared" si="73"/>
        <v>0</v>
      </c>
      <c r="K93" s="154">
        <f t="shared" si="73"/>
        <v>0</v>
      </c>
      <c r="L93" s="154">
        <f t="shared" si="73"/>
        <v>0</v>
      </c>
      <c r="M93" s="154">
        <f t="shared" si="73"/>
        <v>0</v>
      </c>
      <c r="N93" s="154">
        <f t="shared" si="73"/>
        <v>0</v>
      </c>
      <c r="O93" s="154">
        <f t="shared" si="73"/>
        <v>0</v>
      </c>
      <c r="P93" s="154">
        <f t="shared" si="73"/>
        <v>0</v>
      </c>
    </row>
    <row r="94" spans="1:16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54">
        <f t="shared" si="73"/>
        <v>0</v>
      </c>
      <c r="F94" s="154">
        <f t="shared" si="73"/>
        <v>0</v>
      </c>
      <c r="G94" s="154">
        <f t="shared" si="73"/>
        <v>0</v>
      </c>
      <c r="H94" s="154">
        <f t="shared" si="73"/>
        <v>0</v>
      </c>
      <c r="I94" s="154">
        <f t="shared" si="73"/>
        <v>0</v>
      </c>
      <c r="J94" s="154">
        <f t="shared" si="73"/>
        <v>0</v>
      </c>
      <c r="K94" s="154">
        <f t="shared" si="73"/>
        <v>0</v>
      </c>
      <c r="L94" s="154">
        <f t="shared" si="73"/>
        <v>0</v>
      </c>
      <c r="M94" s="154">
        <f t="shared" si="73"/>
        <v>0</v>
      </c>
      <c r="N94" s="154">
        <f t="shared" si="73"/>
        <v>0</v>
      </c>
      <c r="O94" s="154">
        <f t="shared" si="73"/>
        <v>0</v>
      </c>
      <c r="P94" s="154">
        <f t="shared" si="73"/>
        <v>0</v>
      </c>
    </row>
    <row r="95" spans="1:16" s="2" customFormat="1" hidden="1" outlineLevel="2" x14ac:dyDescent="0.25">
      <c r="A95" s="62">
        <v>6320</v>
      </c>
      <c r="B95" s="18" t="s">
        <v>433</v>
      </c>
      <c r="C95" s="2" t="s">
        <v>603</v>
      </c>
      <c r="D95" s="96">
        <v>1000</v>
      </c>
      <c r="E95" s="11">
        <f>IF(E$182=0,0,($D95*(0.5*E185)))</f>
        <v>1000</v>
      </c>
      <c r="F95" s="11">
        <f t="shared" ref="F95:P95" si="74">IF(F$182=0,0,($D95*(0.5*F185)))</f>
        <v>1500</v>
      </c>
      <c r="G95" s="11">
        <f t="shared" si="74"/>
        <v>1500</v>
      </c>
      <c r="H95" s="11">
        <f t="shared" si="74"/>
        <v>1500</v>
      </c>
      <c r="I95" s="11">
        <f t="shared" si="74"/>
        <v>1500</v>
      </c>
      <c r="J95" s="11">
        <f t="shared" si="74"/>
        <v>1500</v>
      </c>
      <c r="K95" s="11">
        <f t="shared" si="74"/>
        <v>2000</v>
      </c>
      <c r="L95" s="11">
        <f t="shared" si="74"/>
        <v>2000</v>
      </c>
      <c r="M95" s="11">
        <f t="shared" si="74"/>
        <v>2000</v>
      </c>
      <c r="N95" s="11">
        <f t="shared" si="74"/>
        <v>2000</v>
      </c>
      <c r="O95" s="11">
        <f t="shared" si="74"/>
        <v>2000</v>
      </c>
      <c r="P95" s="11">
        <f t="shared" si="74"/>
        <v>2500</v>
      </c>
    </row>
    <row r="96" spans="1:16" s="2" customFormat="1" collapsed="1" x14ac:dyDescent="0.25">
      <c r="A96" s="2">
        <v>320</v>
      </c>
      <c r="B96" s="18" t="s">
        <v>434</v>
      </c>
      <c r="E96" s="154">
        <f>SUM(E93:E95)</f>
        <v>1000</v>
      </c>
      <c r="F96" s="154">
        <f t="shared" ref="F96:P96" si="75">SUM(F93:F95)</f>
        <v>1500</v>
      </c>
      <c r="G96" s="154">
        <f t="shared" si="75"/>
        <v>1500</v>
      </c>
      <c r="H96" s="154">
        <f t="shared" si="75"/>
        <v>1500</v>
      </c>
      <c r="I96" s="154">
        <f t="shared" si="75"/>
        <v>1500</v>
      </c>
      <c r="J96" s="154">
        <f t="shared" si="75"/>
        <v>1500</v>
      </c>
      <c r="K96" s="154">
        <f t="shared" si="75"/>
        <v>2000</v>
      </c>
      <c r="L96" s="154">
        <f t="shared" si="75"/>
        <v>2000</v>
      </c>
      <c r="M96" s="154">
        <f t="shared" si="75"/>
        <v>2000</v>
      </c>
      <c r="N96" s="154">
        <f t="shared" si="75"/>
        <v>2000</v>
      </c>
      <c r="O96" s="154">
        <f t="shared" si="75"/>
        <v>2000</v>
      </c>
      <c r="P96" s="154">
        <f t="shared" si="75"/>
        <v>2500</v>
      </c>
    </row>
    <row r="97" spans="1:16" s="2" customFormat="1" hidden="1" outlineLevel="2" x14ac:dyDescent="0.25">
      <c r="A97" s="62">
        <v>6331</v>
      </c>
      <c r="B97" s="18" t="s">
        <v>436</v>
      </c>
      <c r="C97" s="302" t="s">
        <v>630</v>
      </c>
      <c r="D97" s="96">
        <v>500</v>
      </c>
      <c r="E97" s="154">
        <f>IF(E$182=0,0,((SUMIFS(E$188:E$196,$A$188:$A$196,$A188)))*$D97)</f>
        <v>0</v>
      </c>
      <c r="F97" s="154">
        <f t="shared" ref="F97:P97" si="76">IF(F$182=0,0,((SUMIFS(F$188:F$196,$A$188:$A$196,$A188)))*$D97)</f>
        <v>0</v>
      </c>
      <c r="G97" s="154">
        <f t="shared" si="76"/>
        <v>0</v>
      </c>
      <c r="H97" s="154">
        <f t="shared" si="76"/>
        <v>0</v>
      </c>
      <c r="I97" s="154">
        <f t="shared" si="76"/>
        <v>0</v>
      </c>
      <c r="J97" s="154">
        <f t="shared" si="76"/>
        <v>0</v>
      </c>
      <c r="K97" s="154">
        <f t="shared" si="76"/>
        <v>0</v>
      </c>
      <c r="L97" s="154">
        <f t="shared" si="76"/>
        <v>250</v>
      </c>
      <c r="M97" s="154">
        <f t="shared" si="76"/>
        <v>250</v>
      </c>
      <c r="N97" s="154">
        <f t="shared" si="76"/>
        <v>250</v>
      </c>
      <c r="O97" s="154">
        <f t="shared" si="76"/>
        <v>250</v>
      </c>
      <c r="P97" s="154">
        <f t="shared" si="76"/>
        <v>250</v>
      </c>
    </row>
    <row r="98" spans="1:16" s="2" customFormat="1" hidden="1" outlineLevel="2" x14ac:dyDescent="0.25">
      <c r="A98" s="62">
        <v>6333</v>
      </c>
      <c r="B98" s="18" t="s">
        <v>437</v>
      </c>
      <c r="C98" s="302" t="s">
        <v>629</v>
      </c>
      <c r="D98" s="96">
        <v>2000</v>
      </c>
      <c r="E98" s="154">
        <f>IF(E$182=0,0,((SUMIFS(E$188:E$196,$A$188:$A$196,$A189)))*$D98)</f>
        <v>2000</v>
      </c>
      <c r="F98" s="154">
        <f t="shared" ref="F98:P98" si="77">IF(F$182=0,0,((SUMIFS(F$188:F$196,$A$188:$A$196,$A189)))*$D98)</f>
        <v>2000</v>
      </c>
      <c r="G98" s="154">
        <f t="shared" si="77"/>
        <v>2000</v>
      </c>
      <c r="H98" s="154">
        <f t="shared" si="77"/>
        <v>2000</v>
      </c>
      <c r="I98" s="154">
        <f t="shared" si="77"/>
        <v>2000</v>
      </c>
      <c r="J98" s="154">
        <f t="shared" si="77"/>
        <v>2000</v>
      </c>
      <c r="K98" s="154">
        <f t="shared" si="77"/>
        <v>2000</v>
      </c>
      <c r="L98" s="154">
        <f t="shared" si="77"/>
        <v>2000</v>
      </c>
      <c r="M98" s="154">
        <f t="shared" si="77"/>
        <v>2000</v>
      </c>
      <c r="N98" s="154">
        <f t="shared" si="77"/>
        <v>2000</v>
      </c>
      <c r="O98" s="154">
        <f t="shared" si="77"/>
        <v>2000</v>
      </c>
      <c r="P98" s="154">
        <f t="shared" si="77"/>
        <v>2000</v>
      </c>
    </row>
    <row r="99" spans="1:16" s="2" customFormat="1" hidden="1" outlineLevel="2" x14ac:dyDescent="0.25">
      <c r="A99" s="62">
        <v>6336</v>
      </c>
      <c r="B99" s="18" t="s">
        <v>438</v>
      </c>
      <c r="C99" s="302" t="s">
        <v>631</v>
      </c>
      <c r="D99" s="96">
        <v>200</v>
      </c>
      <c r="E99" s="154">
        <f>IF(E$182=0,0,((SUMIFS(E$188:E$196,$A$188:$A$196,$A190)))*$D99)</f>
        <v>0</v>
      </c>
      <c r="F99" s="154">
        <f t="shared" ref="F99:P99" si="78">IF(F$182=0,0,((SUMIFS(F$188:F$196,$A$188:$A$196,$A190)))*$D99)</f>
        <v>200</v>
      </c>
      <c r="G99" s="154">
        <f t="shared" si="78"/>
        <v>200</v>
      </c>
      <c r="H99" s="154">
        <f t="shared" si="78"/>
        <v>200</v>
      </c>
      <c r="I99" s="154">
        <f t="shared" si="78"/>
        <v>200</v>
      </c>
      <c r="J99" s="154">
        <f t="shared" si="78"/>
        <v>200</v>
      </c>
      <c r="K99" s="154">
        <f t="shared" si="78"/>
        <v>200</v>
      </c>
      <c r="L99" s="154">
        <f t="shared" si="78"/>
        <v>200</v>
      </c>
      <c r="M99" s="154">
        <f t="shared" si="78"/>
        <v>200</v>
      </c>
      <c r="N99" s="154">
        <f t="shared" si="78"/>
        <v>200</v>
      </c>
      <c r="O99" s="154">
        <f t="shared" si="78"/>
        <v>200</v>
      </c>
      <c r="P99" s="154">
        <f t="shared" si="78"/>
        <v>200</v>
      </c>
    </row>
    <row r="100" spans="1:16" s="2" customFormat="1" hidden="1" outlineLevel="2" x14ac:dyDescent="0.25">
      <c r="A100" s="62">
        <v>6337</v>
      </c>
      <c r="B100" s="18" t="s">
        <v>439</v>
      </c>
      <c r="C100" s="302" t="s">
        <v>632</v>
      </c>
      <c r="D100" s="85">
        <v>250</v>
      </c>
      <c r="E100" s="11">
        <f>IF(E$182=0,0,((SUMIFS(E$188:E$196,$A$188:$A$196,$A191)))*$D100)</f>
        <v>250</v>
      </c>
      <c r="F100" s="11">
        <f t="shared" ref="F100:P100" si="79">IF(F$182=0,0,((SUMIFS(F$188:F$196,$A$188:$A$196,$A191)))*$D100)</f>
        <v>500</v>
      </c>
      <c r="G100" s="11">
        <f t="shared" si="79"/>
        <v>500</v>
      </c>
      <c r="H100" s="11">
        <f t="shared" si="79"/>
        <v>500</v>
      </c>
      <c r="I100" s="11">
        <f t="shared" si="79"/>
        <v>500</v>
      </c>
      <c r="J100" s="11">
        <f t="shared" si="79"/>
        <v>500</v>
      </c>
      <c r="K100" s="11">
        <f t="shared" si="79"/>
        <v>500</v>
      </c>
      <c r="L100" s="11">
        <f t="shared" si="79"/>
        <v>500</v>
      </c>
      <c r="M100" s="11">
        <f t="shared" si="79"/>
        <v>500</v>
      </c>
      <c r="N100" s="11">
        <f t="shared" si="79"/>
        <v>500</v>
      </c>
      <c r="O100" s="11">
        <f t="shared" si="79"/>
        <v>500</v>
      </c>
      <c r="P100" s="11">
        <f t="shared" si="79"/>
        <v>500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54">
        <f>SUM(E97:E100)</f>
        <v>2250</v>
      </c>
      <c r="F101" s="154">
        <f t="shared" ref="F101:P101" si="80">SUM(F97:F100)</f>
        <v>2700</v>
      </c>
      <c r="G101" s="154">
        <f t="shared" si="80"/>
        <v>2700</v>
      </c>
      <c r="H101" s="154">
        <f t="shared" si="80"/>
        <v>2700</v>
      </c>
      <c r="I101" s="154">
        <f t="shared" si="80"/>
        <v>2700</v>
      </c>
      <c r="J101" s="154">
        <f t="shared" si="80"/>
        <v>2700</v>
      </c>
      <c r="K101" s="154">
        <f t="shared" si="80"/>
        <v>2700</v>
      </c>
      <c r="L101" s="154">
        <f t="shared" si="80"/>
        <v>2950</v>
      </c>
      <c r="M101" s="154">
        <f t="shared" si="80"/>
        <v>2950</v>
      </c>
      <c r="N101" s="154">
        <f t="shared" si="80"/>
        <v>2950</v>
      </c>
      <c r="O101" s="154">
        <f t="shared" si="80"/>
        <v>2950</v>
      </c>
      <c r="P101" s="154">
        <f t="shared" si="80"/>
        <v>2950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54">
        <f t="shared" ref="E102:P107" si="81">IF(E$182=0,0,$D102)</f>
        <v>0</v>
      </c>
      <c r="F102" s="154">
        <f t="shared" si="81"/>
        <v>0</v>
      </c>
      <c r="G102" s="154">
        <f t="shared" si="81"/>
        <v>0</v>
      </c>
      <c r="H102" s="154">
        <f t="shared" si="81"/>
        <v>0</v>
      </c>
      <c r="I102" s="154">
        <f t="shared" si="81"/>
        <v>0</v>
      </c>
      <c r="J102" s="154">
        <f t="shared" si="81"/>
        <v>0</v>
      </c>
      <c r="K102" s="154">
        <f t="shared" si="81"/>
        <v>0</v>
      </c>
      <c r="L102" s="154">
        <f t="shared" si="81"/>
        <v>0</v>
      </c>
      <c r="M102" s="154">
        <f t="shared" si="81"/>
        <v>0</v>
      </c>
      <c r="N102" s="154">
        <f t="shared" si="81"/>
        <v>0</v>
      </c>
      <c r="O102" s="154">
        <f t="shared" si="81"/>
        <v>0</v>
      </c>
      <c r="P102" s="154">
        <f t="shared" si="81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0</v>
      </c>
      <c r="E103" s="154">
        <f t="shared" si="81"/>
        <v>0</v>
      </c>
      <c r="F103" s="154">
        <f t="shared" si="81"/>
        <v>0</v>
      </c>
      <c r="G103" s="154">
        <f t="shared" si="81"/>
        <v>0</v>
      </c>
      <c r="H103" s="154">
        <f t="shared" si="81"/>
        <v>0</v>
      </c>
      <c r="I103" s="154">
        <f t="shared" si="81"/>
        <v>0</v>
      </c>
      <c r="J103" s="154">
        <f t="shared" si="81"/>
        <v>0</v>
      </c>
      <c r="K103" s="154">
        <f t="shared" si="81"/>
        <v>0</v>
      </c>
      <c r="L103" s="154">
        <f t="shared" si="81"/>
        <v>0</v>
      </c>
      <c r="M103" s="154">
        <f t="shared" si="81"/>
        <v>0</v>
      </c>
      <c r="N103" s="154">
        <f t="shared" si="81"/>
        <v>0</v>
      </c>
      <c r="O103" s="154">
        <f t="shared" si="81"/>
        <v>0</v>
      </c>
      <c r="P103" s="154">
        <f t="shared" si="81"/>
        <v>0</v>
      </c>
    </row>
    <row r="104" spans="1:16" s="2" customFormat="1" x14ac:dyDescent="0.25">
      <c r="A104" s="2">
        <v>340</v>
      </c>
      <c r="B104" s="18" t="s">
        <v>489</v>
      </c>
      <c r="C104" s="297" t="s">
        <v>604</v>
      </c>
      <c r="D104" s="96">
        <v>0</v>
      </c>
      <c r="E104" s="154">
        <f t="shared" si="81"/>
        <v>0</v>
      </c>
      <c r="F104" s="154">
        <f t="shared" si="81"/>
        <v>0</v>
      </c>
      <c r="G104" s="154">
        <f t="shared" si="81"/>
        <v>0</v>
      </c>
      <c r="H104" s="154">
        <f t="shared" si="81"/>
        <v>0</v>
      </c>
      <c r="I104" s="154">
        <f t="shared" si="81"/>
        <v>0</v>
      </c>
      <c r="J104" s="154">
        <f t="shared" si="81"/>
        <v>0</v>
      </c>
      <c r="K104" s="154">
        <f t="shared" si="81"/>
        <v>0</v>
      </c>
      <c r="L104" s="154">
        <f t="shared" si="81"/>
        <v>0</v>
      </c>
      <c r="M104" s="154">
        <f t="shared" si="81"/>
        <v>0</v>
      </c>
      <c r="N104" s="154">
        <f t="shared" si="81"/>
        <v>0</v>
      </c>
      <c r="O104" s="154">
        <f t="shared" si="81"/>
        <v>0</v>
      </c>
      <c r="P104" s="154">
        <f t="shared" si="81"/>
        <v>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0</v>
      </c>
      <c r="E105" s="154">
        <f t="shared" si="81"/>
        <v>0</v>
      </c>
      <c r="F105" s="154">
        <f t="shared" si="81"/>
        <v>0</v>
      </c>
      <c r="G105" s="154">
        <f t="shared" si="81"/>
        <v>0</v>
      </c>
      <c r="H105" s="154">
        <f t="shared" si="81"/>
        <v>0</v>
      </c>
      <c r="I105" s="154">
        <f t="shared" si="81"/>
        <v>0</v>
      </c>
      <c r="J105" s="154">
        <f t="shared" si="81"/>
        <v>0</v>
      </c>
      <c r="K105" s="154">
        <f t="shared" si="81"/>
        <v>0</v>
      </c>
      <c r="L105" s="154">
        <f t="shared" si="81"/>
        <v>0</v>
      </c>
      <c r="M105" s="154">
        <f t="shared" si="81"/>
        <v>0</v>
      </c>
      <c r="N105" s="154">
        <f t="shared" si="81"/>
        <v>0</v>
      </c>
      <c r="O105" s="154">
        <f t="shared" si="81"/>
        <v>0</v>
      </c>
      <c r="P105" s="154">
        <f t="shared" si="81"/>
        <v>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604</v>
      </c>
      <c r="D106" s="96">
        <v>0</v>
      </c>
      <c r="E106" s="154">
        <f t="shared" si="81"/>
        <v>0</v>
      </c>
      <c r="F106" s="154">
        <f t="shared" si="81"/>
        <v>0</v>
      </c>
      <c r="G106" s="154">
        <f t="shared" si="81"/>
        <v>0</v>
      </c>
      <c r="H106" s="154">
        <f t="shared" si="81"/>
        <v>0</v>
      </c>
      <c r="I106" s="154">
        <f t="shared" si="81"/>
        <v>0</v>
      </c>
      <c r="J106" s="154">
        <f t="shared" si="81"/>
        <v>0</v>
      </c>
      <c r="K106" s="154">
        <f t="shared" si="81"/>
        <v>0</v>
      </c>
      <c r="L106" s="154">
        <f t="shared" si="81"/>
        <v>0</v>
      </c>
      <c r="M106" s="154">
        <f t="shared" si="81"/>
        <v>0</v>
      </c>
      <c r="N106" s="154">
        <f t="shared" si="81"/>
        <v>0</v>
      </c>
      <c r="O106" s="154">
        <f t="shared" si="81"/>
        <v>0</v>
      </c>
      <c r="P106" s="154">
        <f t="shared" si="81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11">
        <f t="shared" si="81"/>
        <v>0</v>
      </c>
      <c r="F107" s="11">
        <f t="shared" si="81"/>
        <v>0</v>
      </c>
      <c r="G107" s="11">
        <f t="shared" si="81"/>
        <v>0</v>
      </c>
      <c r="H107" s="11">
        <f t="shared" si="81"/>
        <v>0</v>
      </c>
      <c r="I107" s="11">
        <f t="shared" si="81"/>
        <v>0</v>
      </c>
      <c r="J107" s="11">
        <f t="shared" si="81"/>
        <v>0</v>
      </c>
      <c r="K107" s="11">
        <f t="shared" si="81"/>
        <v>0</v>
      </c>
      <c r="L107" s="11">
        <f t="shared" si="81"/>
        <v>0</v>
      </c>
      <c r="M107" s="11">
        <f t="shared" si="81"/>
        <v>0</v>
      </c>
      <c r="N107" s="11">
        <f t="shared" si="81"/>
        <v>0</v>
      </c>
      <c r="O107" s="11">
        <f t="shared" si="81"/>
        <v>0</v>
      </c>
      <c r="P107" s="11">
        <f t="shared" si="81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54">
        <f>SUM(E106:E107)</f>
        <v>0</v>
      </c>
      <c r="F108" s="154">
        <f t="shared" ref="F108:P108" si="82">SUM(F106:F107)</f>
        <v>0</v>
      </c>
      <c r="G108" s="154">
        <f t="shared" si="82"/>
        <v>0</v>
      </c>
      <c r="H108" s="154">
        <f t="shared" si="82"/>
        <v>0</v>
      </c>
      <c r="I108" s="154">
        <f t="shared" si="82"/>
        <v>0</v>
      </c>
      <c r="J108" s="154">
        <f t="shared" si="82"/>
        <v>0</v>
      </c>
      <c r="K108" s="154">
        <f t="shared" si="82"/>
        <v>0</v>
      </c>
      <c r="L108" s="154">
        <f t="shared" si="82"/>
        <v>0</v>
      </c>
      <c r="M108" s="154">
        <f t="shared" si="82"/>
        <v>0</v>
      </c>
      <c r="N108" s="154">
        <f t="shared" si="82"/>
        <v>0</v>
      </c>
      <c r="O108" s="154">
        <f t="shared" si="82"/>
        <v>0</v>
      </c>
      <c r="P108" s="154">
        <f t="shared" si="82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656</v>
      </c>
      <c r="D109" s="164">
        <v>0</v>
      </c>
      <c r="E109" s="154">
        <f>IF(E$182=0,0,($D109*100))</f>
        <v>0</v>
      </c>
      <c r="F109" s="154">
        <f t="shared" ref="F109:P109" si="83">IF(F$182=0,0,($D109*100))</f>
        <v>0</v>
      </c>
      <c r="G109" s="154">
        <f t="shared" si="83"/>
        <v>0</v>
      </c>
      <c r="H109" s="154">
        <f t="shared" si="83"/>
        <v>0</v>
      </c>
      <c r="I109" s="154">
        <f t="shared" si="83"/>
        <v>0</v>
      </c>
      <c r="J109" s="154">
        <f t="shared" si="83"/>
        <v>0</v>
      </c>
      <c r="K109" s="154">
        <f t="shared" si="83"/>
        <v>0</v>
      </c>
      <c r="L109" s="154">
        <f t="shared" si="83"/>
        <v>0</v>
      </c>
      <c r="M109" s="154">
        <f t="shared" si="83"/>
        <v>0</v>
      </c>
      <c r="N109" s="154">
        <f t="shared" si="83"/>
        <v>0</v>
      </c>
      <c r="O109" s="154">
        <f t="shared" si="83"/>
        <v>0</v>
      </c>
      <c r="P109" s="154">
        <f t="shared" si="83"/>
        <v>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701</v>
      </c>
      <c r="D111" s="199">
        <v>40</v>
      </c>
      <c r="E111" s="10">
        <f>ROUND((($D111*(1+E$11))*E$182*0.75),0)</f>
        <v>2700</v>
      </c>
      <c r="F111" s="10">
        <f t="shared" ref="F111:P111" si="85">ROUND((($D111*(1+F$11))*F$182*0.75),0)</f>
        <v>3978</v>
      </c>
      <c r="G111" s="10">
        <f t="shared" si="85"/>
        <v>4680</v>
      </c>
      <c r="H111" s="10">
        <f t="shared" si="85"/>
        <v>5024</v>
      </c>
      <c r="I111" s="10">
        <f t="shared" si="85"/>
        <v>5378</v>
      </c>
      <c r="J111" s="10">
        <f t="shared" si="85"/>
        <v>5742</v>
      </c>
      <c r="K111" s="10">
        <f t="shared" si="85"/>
        <v>6149</v>
      </c>
      <c r="L111" s="10">
        <f t="shared" si="85"/>
        <v>6566</v>
      </c>
      <c r="M111" s="10">
        <f t="shared" si="85"/>
        <v>7030</v>
      </c>
      <c r="N111" s="10">
        <f t="shared" si="85"/>
        <v>7505</v>
      </c>
      <c r="O111" s="10">
        <f t="shared" si="85"/>
        <v>8028</v>
      </c>
      <c r="P111" s="10">
        <f t="shared" si="85"/>
        <v>8564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630</v>
      </c>
      <c r="F112" s="10">
        <f t="shared" ref="F112:P113" si="86">ROUND((($D112*(1+F$11))*F$182),0)</f>
        <v>928</v>
      </c>
      <c r="G112" s="10">
        <f t="shared" si="86"/>
        <v>1092</v>
      </c>
      <c r="H112" s="10">
        <f t="shared" si="86"/>
        <v>1172</v>
      </c>
      <c r="I112" s="10">
        <f t="shared" si="86"/>
        <v>1255</v>
      </c>
      <c r="J112" s="10">
        <f t="shared" si="86"/>
        <v>1340</v>
      </c>
      <c r="K112" s="10">
        <f t="shared" si="86"/>
        <v>1435</v>
      </c>
      <c r="L112" s="10">
        <f t="shared" si="86"/>
        <v>1532</v>
      </c>
      <c r="M112" s="10">
        <f t="shared" si="86"/>
        <v>1640</v>
      </c>
      <c r="N112" s="10">
        <f t="shared" si="86"/>
        <v>1751</v>
      </c>
      <c r="O112" s="10">
        <f t="shared" si="86"/>
        <v>1873</v>
      </c>
      <c r="P112" s="10">
        <f t="shared" si="86"/>
        <v>1998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900</v>
      </c>
      <c r="F113" s="11">
        <f t="shared" si="86"/>
        <v>1326</v>
      </c>
      <c r="G113" s="11">
        <f t="shared" si="86"/>
        <v>1560</v>
      </c>
      <c r="H113" s="11">
        <f t="shared" si="86"/>
        <v>1675</v>
      </c>
      <c r="I113" s="11">
        <f t="shared" si="86"/>
        <v>1793</v>
      </c>
      <c r="J113" s="11">
        <f t="shared" si="86"/>
        <v>1914</v>
      </c>
      <c r="K113" s="11">
        <f t="shared" si="86"/>
        <v>2050</v>
      </c>
      <c r="L113" s="11">
        <f t="shared" si="86"/>
        <v>2189</v>
      </c>
      <c r="M113" s="11">
        <f t="shared" si="86"/>
        <v>2343</v>
      </c>
      <c r="N113" s="11">
        <f t="shared" si="86"/>
        <v>2502</v>
      </c>
      <c r="O113" s="11">
        <f t="shared" si="86"/>
        <v>2676</v>
      </c>
      <c r="P113" s="11">
        <f t="shared" si="86"/>
        <v>2855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54">
        <f>SUM(E110:E113)</f>
        <v>4230</v>
      </c>
      <c r="F114" s="154">
        <f t="shared" ref="F114:P114" si="87">SUM(F110:F113)</f>
        <v>6232</v>
      </c>
      <c r="G114" s="154">
        <f t="shared" si="87"/>
        <v>7332</v>
      </c>
      <c r="H114" s="154">
        <f t="shared" si="87"/>
        <v>7871</v>
      </c>
      <c r="I114" s="154">
        <f t="shared" si="87"/>
        <v>8426</v>
      </c>
      <c r="J114" s="154">
        <f t="shared" si="87"/>
        <v>8996</v>
      </c>
      <c r="K114" s="154">
        <f t="shared" si="87"/>
        <v>9634</v>
      </c>
      <c r="L114" s="154">
        <f t="shared" si="87"/>
        <v>10287</v>
      </c>
      <c r="M114" s="154">
        <f t="shared" si="87"/>
        <v>11013</v>
      </c>
      <c r="N114" s="154">
        <f t="shared" si="87"/>
        <v>11758</v>
      </c>
      <c r="O114" s="154">
        <f t="shared" si="87"/>
        <v>12577</v>
      </c>
      <c r="P114" s="154">
        <f t="shared" si="87"/>
        <v>13417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/>
      <c r="E115" s="154">
        <f t="shared" ref="E115:P115" si="88">IF(E$182=0,0,($D115*12)*(1+E$11))</f>
        <v>0</v>
      </c>
      <c r="F115" s="154">
        <f t="shared" si="88"/>
        <v>0</v>
      </c>
      <c r="G115" s="154">
        <f t="shared" si="88"/>
        <v>0</v>
      </c>
      <c r="H115" s="154">
        <f t="shared" si="88"/>
        <v>0</v>
      </c>
      <c r="I115" s="154">
        <f t="shared" si="88"/>
        <v>0</v>
      </c>
      <c r="J115" s="154">
        <f t="shared" si="88"/>
        <v>0</v>
      </c>
      <c r="K115" s="154">
        <f t="shared" si="88"/>
        <v>0</v>
      </c>
      <c r="L115" s="154">
        <f t="shared" si="88"/>
        <v>0</v>
      </c>
      <c r="M115" s="154">
        <f t="shared" si="88"/>
        <v>0</v>
      </c>
      <c r="N115" s="154">
        <f t="shared" si="88"/>
        <v>0</v>
      </c>
      <c r="O115" s="154">
        <f t="shared" si="88"/>
        <v>0</v>
      </c>
      <c r="P115" s="154">
        <f t="shared" si="88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42.5</v>
      </c>
      <c r="E116" s="154">
        <f>IF(E$182=0,0,$D116*12)</f>
        <v>510</v>
      </c>
      <c r="F116" s="154">
        <f>IF(F$182=0,0,$D116*12)</f>
        <v>510</v>
      </c>
      <c r="G116" s="154">
        <f>IF(G$182=0,0,$D116*12)</f>
        <v>510</v>
      </c>
      <c r="H116" s="154">
        <f t="shared" ref="H116:P116" si="89">IF(H$182=0,0,$D116*12)</f>
        <v>510</v>
      </c>
      <c r="I116" s="154">
        <f t="shared" si="89"/>
        <v>510</v>
      </c>
      <c r="J116" s="154">
        <f t="shared" si="89"/>
        <v>510</v>
      </c>
      <c r="K116" s="154">
        <f t="shared" si="89"/>
        <v>510</v>
      </c>
      <c r="L116" s="154">
        <f t="shared" si="89"/>
        <v>510</v>
      </c>
      <c r="M116" s="154">
        <f t="shared" si="89"/>
        <v>510</v>
      </c>
      <c r="N116" s="154">
        <f t="shared" si="89"/>
        <v>510</v>
      </c>
      <c r="O116" s="154">
        <f t="shared" si="89"/>
        <v>510</v>
      </c>
      <c r="P116" s="154">
        <f t="shared" si="89"/>
        <v>510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10</v>
      </c>
      <c r="E117" s="11">
        <f>IF(E$182=0,0,ROUND(($D117*12),0))</f>
        <v>120</v>
      </c>
      <c r="F117" s="11">
        <f t="shared" ref="F117:P117" si="90">IF(F$182=0,0,ROUND(($D117*12),0))</f>
        <v>120</v>
      </c>
      <c r="G117" s="11">
        <f t="shared" si="90"/>
        <v>120</v>
      </c>
      <c r="H117" s="11">
        <f t="shared" si="90"/>
        <v>120</v>
      </c>
      <c r="I117" s="11">
        <f t="shared" si="90"/>
        <v>120</v>
      </c>
      <c r="J117" s="11">
        <f t="shared" si="90"/>
        <v>120</v>
      </c>
      <c r="K117" s="11">
        <f t="shared" si="90"/>
        <v>120</v>
      </c>
      <c r="L117" s="11">
        <f t="shared" si="90"/>
        <v>120</v>
      </c>
      <c r="M117" s="11">
        <f t="shared" si="90"/>
        <v>120</v>
      </c>
      <c r="N117" s="11">
        <f t="shared" si="90"/>
        <v>120</v>
      </c>
      <c r="O117" s="11">
        <f t="shared" si="90"/>
        <v>120</v>
      </c>
      <c r="P117" s="11">
        <f t="shared" si="90"/>
        <v>120</v>
      </c>
    </row>
    <row r="118" spans="1:16" s="2" customFormat="1" collapsed="1" x14ac:dyDescent="0.25">
      <c r="A118" s="2">
        <v>400</v>
      </c>
      <c r="B118" s="18" t="s">
        <v>445</v>
      </c>
      <c r="E118" s="154">
        <f>SUM(E115:E117)</f>
        <v>630</v>
      </c>
      <c r="F118" s="154">
        <f t="shared" ref="F118:G118" si="91">SUM(F115:F117)</f>
        <v>630</v>
      </c>
      <c r="G118" s="154">
        <f t="shared" si="91"/>
        <v>630</v>
      </c>
      <c r="H118" s="154">
        <f t="shared" ref="H118:P118" si="92">SUM(H115:H117)</f>
        <v>630</v>
      </c>
      <c r="I118" s="154">
        <f t="shared" si="92"/>
        <v>630</v>
      </c>
      <c r="J118" s="154">
        <f t="shared" si="92"/>
        <v>630</v>
      </c>
      <c r="K118" s="154">
        <f t="shared" si="92"/>
        <v>630</v>
      </c>
      <c r="L118" s="154">
        <f t="shared" si="92"/>
        <v>630</v>
      </c>
      <c r="M118" s="154">
        <f t="shared" si="92"/>
        <v>630</v>
      </c>
      <c r="N118" s="154">
        <f t="shared" si="92"/>
        <v>630</v>
      </c>
      <c r="O118" s="154">
        <f t="shared" si="92"/>
        <v>630</v>
      </c>
      <c r="P118" s="154">
        <f t="shared" si="92"/>
        <v>630</v>
      </c>
    </row>
    <row r="119" spans="1:16" s="2" customFormat="1" x14ac:dyDescent="0.25">
      <c r="A119" s="2">
        <v>440</v>
      </c>
      <c r="B119" s="18" t="s">
        <v>464</v>
      </c>
      <c r="C119" s="2" t="s">
        <v>590</v>
      </c>
      <c r="D119" s="164"/>
      <c r="E119" s="154">
        <f>IF(E$182=0,0,E224)</f>
        <v>56700</v>
      </c>
      <c r="F119" s="154">
        <f t="shared" ref="F119:P119" si="93">IF(F$182=0,0,F224)</f>
        <v>58401</v>
      </c>
      <c r="G119" s="154">
        <f t="shared" si="93"/>
        <v>60153.030000000006</v>
      </c>
      <c r="H119" s="154">
        <f t="shared" si="93"/>
        <v>61957.620900000009</v>
      </c>
      <c r="I119" s="154">
        <f t="shared" si="93"/>
        <v>63816.349527000013</v>
      </c>
      <c r="J119" s="154">
        <f t="shared" si="93"/>
        <v>65730.840012810018</v>
      </c>
      <c r="K119" s="154">
        <f t="shared" si="93"/>
        <v>67702.765213194303</v>
      </c>
      <c r="L119" s="154">
        <f t="shared" si="93"/>
        <v>69733.848169590143</v>
      </c>
      <c r="M119" s="154">
        <f t="shared" si="93"/>
        <v>71825.86361467783</v>
      </c>
      <c r="N119" s="154">
        <f t="shared" si="93"/>
        <v>73980.639523118181</v>
      </c>
      <c r="O119" s="154">
        <f t="shared" si="93"/>
        <v>76200.058708811732</v>
      </c>
      <c r="P119" s="154">
        <f t="shared" si="93"/>
        <v>78486.060470076089</v>
      </c>
    </row>
    <row r="120" spans="1:16" s="2" customFormat="1" x14ac:dyDescent="0.25">
      <c r="A120" s="2">
        <v>440</v>
      </c>
      <c r="B120" s="18" t="s">
        <v>585</v>
      </c>
      <c r="C120" s="298" t="s">
        <v>753</v>
      </c>
      <c r="D120" s="85">
        <v>500</v>
      </c>
      <c r="E120" s="154">
        <f>IF(E$182=0,0,$D120)</f>
        <v>500</v>
      </c>
      <c r="F120" s="154">
        <f t="shared" ref="F120:P120" si="94">IF(F$182=0,0,$D120)</f>
        <v>500</v>
      </c>
      <c r="G120" s="154">
        <f t="shared" si="94"/>
        <v>500</v>
      </c>
      <c r="H120" s="154">
        <f t="shared" si="94"/>
        <v>500</v>
      </c>
      <c r="I120" s="154">
        <f t="shared" si="94"/>
        <v>500</v>
      </c>
      <c r="J120" s="154">
        <f t="shared" si="94"/>
        <v>500</v>
      </c>
      <c r="K120" s="154">
        <f t="shared" si="94"/>
        <v>500</v>
      </c>
      <c r="L120" s="154">
        <f t="shared" si="94"/>
        <v>500</v>
      </c>
      <c r="M120" s="154">
        <f t="shared" si="94"/>
        <v>500</v>
      </c>
      <c r="N120" s="154">
        <f t="shared" si="94"/>
        <v>500</v>
      </c>
      <c r="O120" s="154">
        <f t="shared" si="94"/>
        <v>500</v>
      </c>
      <c r="P120" s="154">
        <f t="shared" si="94"/>
        <v>500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735</v>
      </c>
      <c r="D121" s="85">
        <v>0</v>
      </c>
      <c r="E121" s="154">
        <f>IF(E$182=0,0,$D121*12)</f>
        <v>0</v>
      </c>
      <c r="F121" s="154">
        <f t="shared" ref="F121:P121" si="95">IF(F$182=0,0,$D121*12)</f>
        <v>0</v>
      </c>
      <c r="G121" s="154">
        <f t="shared" si="95"/>
        <v>0</v>
      </c>
      <c r="H121" s="154">
        <f t="shared" si="95"/>
        <v>0</v>
      </c>
      <c r="I121" s="154">
        <f t="shared" si="95"/>
        <v>0</v>
      </c>
      <c r="J121" s="154">
        <f t="shared" si="95"/>
        <v>0</v>
      </c>
      <c r="K121" s="154">
        <f t="shared" si="95"/>
        <v>0</v>
      </c>
      <c r="L121" s="154">
        <f t="shared" si="95"/>
        <v>0</v>
      </c>
      <c r="M121" s="154">
        <f t="shared" si="95"/>
        <v>0</v>
      </c>
      <c r="N121" s="154">
        <f t="shared" si="95"/>
        <v>0</v>
      </c>
      <c r="O121" s="154">
        <f t="shared" si="95"/>
        <v>0</v>
      </c>
      <c r="P121" s="154">
        <f t="shared" si="95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54">
        <f>IF(E$182=0,0,($D122*(1+E$11)*12))</f>
        <v>600</v>
      </c>
      <c r="F122" s="154">
        <f t="shared" ref="F122:P122" si="96">IF(F$182=0,0,($D122*(1+F$11)*12))</f>
        <v>612</v>
      </c>
      <c r="G122" s="154">
        <f t="shared" si="96"/>
        <v>624</v>
      </c>
      <c r="H122" s="154">
        <f t="shared" si="96"/>
        <v>636</v>
      </c>
      <c r="I122" s="154">
        <f t="shared" si="96"/>
        <v>648</v>
      </c>
      <c r="J122" s="154">
        <f t="shared" si="96"/>
        <v>660.00000000000011</v>
      </c>
      <c r="K122" s="154">
        <f t="shared" si="96"/>
        <v>672.00000000000011</v>
      </c>
      <c r="L122" s="154">
        <f t="shared" si="96"/>
        <v>684.00000000000011</v>
      </c>
      <c r="M122" s="154">
        <f t="shared" si="96"/>
        <v>695.99999999999989</v>
      </c>
      <c r="N122" s="154">
        <f t="shared" si="96"/>
        <v>708</v>
      </c>
      <c r="O122" s="154">
        <f t="shared" si="96"/>
        <v>720</v>
      </c>
      <c r="P122" s="154">
        <f t="shared" si="96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54">
        <f>IF(E$182=0,0,($D123*12))</f>
        <v>0</v>
      </c>
      <c r="F123" s="154">
        <f t="shared" ref="F123:P123" si="97">IF(F$182=0,0,($D123*12))</f>
        <v>0</v>
      </c>
      <c r="G123" s="154">
        <f t="shared" si="97"/>
        <v>0</v>
      </c>
      <c r="H123" s="154">
        <f t="shared" si="97"/>
        <v>0</v>
      </c>
      <c r="I123" s="154">
        <f t="shared" si="97"/>
        <v>0</v>
      </c>
      <c r="J123" s="154">
        <f t="shared" si="97"/>
        <v>0</v>
      </c>
      <c r="K123" s="154">
        <f t="shared" si="97"/>
        <v>0</v>
      </c>
      <c r="L123" s="154">
        <f t="shared" si="97"/>
        <v>0</v>
      </c>
      <c r="M123" s="154">
        <f t="shared" si="97"/>
        <v>0</v>
      </c>
      <c r="N123" s="154">
        <f t="shared" si="97"/>
        <v>0</v>
      </c>
      <c r="O123" s="154">
        <f t="shared" si="97"/>
        <v>0</v>
      </c>
      <c r="P123" s="154">
        <f t="shared" si="97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144</v>
      </c>
      <c r="E124" s="154">
        <f t="shared" ref="E124:P125" si="98">IF(E$182=0,0,($D124*(1+E$11)*12))</f>
        <v>1728</v>
      </c>
      <c r="F124" s="154">
        <f t="shared" si="98"/>
        <v>1762.56</v>
      </c>
      <c r="G124" s="154">
        <f t="shared" si="98"/>
        <v>1797.12</v>
      </c>
      <c r="H124" s="154">
        <f t="shared" si="98"/>
        <v>1831.6800000000003</v>
      </c>
      <c r="I124" s="154">
        <f t="shared" si="98"/>
        <v>1866.2400000000002</v>
      </c>
      <c r="J124" s="154">
        <f t="shared" si="98"/>
        <v>1900.8000000000002</v>
      </c>
      <c r="K124" s="154">
        <f t="shared" si="98"/>
        <v>1935.3600000000004</v>
      </c>
      <c r="L124" s="154">
        <f t="shared" si="98"/>
        <v>1969.9200000000003</v>
      </c>
      <c r="M124" s="154">
        <f t="shared" si="98"/>
        <v>2004.48</v>
      </c>
      <c r="N124" s="154">
        <f t="shared" si="98"/>
        <v>2039.04</v>
      </c>
      <c r="O124" s="154">
        <f t="shared" si="98"/>
        <v>2073.6</v>
      </c>
      <c r="P124" s="154">
        <f t="shared" si="98"/>
        <v>2108.16</v>
      </c>
    </row>
    <row r="125" spans="1:16" s="2" customFormat="1" hidden="1" outlineLevel="1" x14ac:dyDescent="0.25">
      <c r="A125" s="2">
        <v>6535</v>
      </c>
      <c r="B125" s="74" t="s">
        <v>456</v>
      </c>
      <c r="C125" s="301" t="s">
        <v>605</v>
      </c>
      <c r="D125" s="85">
        <v>0</v>
      </c>
      <c r="E125" s="11">
        <f t="shared" si="98"/>
        <v>0</v>
      </c>
      <c r="F125" s="11">
        <f t="shared" si="98"/>
        <v>0</v>
      </c>
      <c r="G125" s="11">
        <f t="shared" si="98"/>
        <v>0</v>
      </c>
      <c r="H125" s="11">
        <f t="shared" si="98"/>
        <v>0</v>
      </c>
      <c r="I125" s="11">
        <f t="shared" si="98"/>
        <v>0</v>
      </c>
      <c r="J125" s="11">
        <f t="shared" si="98"/>
        <v>0</v>
      </c>
      <c r="K125" s="11">
        <f t="shared" si="98"/>
        <v>0</v>
      </c>
      <c r="L125" s="11">
        <f t="shared" si="98"/>
        <v>0</v>
      </c>
      <c r="M125" s="11">
        <f t="shared" si="98"/>
        <v>0</v>
      </c>
      <c r="N125" s="11">
        <f t="shared" si="98"/>
        <v>0</v>
      </c>
      <c r="O125" s="11">
        <f t="shared" si="98"/>
        <v>0</v>
      </c>
      <c r="P125" s="11">
        <f t="shared" si="98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54">
        <f>SUM(E121:E125)</f>
        <v>2328</v>
      </c>
      <c r="F126" s="154">
        <f t="shared" ref="F126:P126" si="99">SUM(F121:F125)</f>
        <v>2374.56</v>
      </c>
      <c r="G126" s="154">
        <f t="shared" si="99"/>
        <v>2421.12</v>
      </c>
      <c r="H126" s="154">
        <f t="shared" si="99"/>
        <v>2467.6800000000003</v>
      </c>
      <c r="I126" s="154">
        <f t="shared" si="99"/>
        <v>2514.2400000000002</v>
      </c>
      <c r="J126" s="154">
        <f t="shared" si="99"/>
        <v>2560.8000000000002</v>
      </c>
      <c r="K126" s="154">
        <f t="shared" si="99"/>
        <v>2607.3600000000006</v>
      </c>
      <c r="L126" s="154">
        <f t="shared" si="99"/>
        <v>2653.9200000000005</v>
      </c>
      <c r="M126" s="154">
        <f t="shared" si="99"/>
        <v>2700.48</v>
      </c>
      <c r="N126" s="154">
        <f t="shared" si="99"/>
        <v>2747.04</v>
      </c>
      <c r="O126" s="154">
        <f t="shared" si="99"/>
        <v>2793.6</v>
      </c>
      <c r="P126" s="154">
        <f t="shared" si="99"/>
        <v>2840.16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0</v>
      </c>
      <c r="E127" s="154">
        <f t="shared" ref="E127:E132" si="100">ROUND(($D127*(1+E$11)*E$182),0)</f>
        <v>0</v>
      </c>
      <c r="F127" s="154">
        <f t="shared" ref="F127:P127" si="101">ROUND(($D127*(1+F$11)*F$182),0)</f>
        <v>0</v>
      </c>
      <c r="G127" s="154">
        <f t="shared" si="101"/>
        <v>0</v>
      </c>
      <c r="H127" s="154">
        <f t="shared" si="101"/>
        <v>0</v>
      </c>
      <c r="I127" s="154">
        <f t="shared" si="101"/>
        <v>0</v>
      </c>
      <c r="J127" s="154">
        <f t="shared" si="101"/>
        <v>0</v>
      </c>
      <c r="K127" s="154">
        <f t="shared" si="101"/>
        <v>0</v>
      </c>
      <c r="L127" s="154">
        <f t="shared" si="101"/>
        <v>0</v>
      </c>
      <c r="M127" s="154">
        <f t="shared" si="101"/>
        <v>0</v>
      </c>
      <c r="N127" s="154">
        <f t="shared" si="101"/>
        <v>0</v>
      </c>
      <c r="O127" s="154">
        <f t="shared" si="101"/>
        <v>0</v>
      </c>
      <c r="P127" s="154">
        <f t="shared" si="101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54">
        <f t="shared" si="100"/>
        <v>0</v>
      </c>
      <c r="F128" s="154">
        <f t="shared" ref="F128:P132" si="102">ROUND(($D128*(1+F$11)*F$182),0)</f>
        <v>0</v>
      </c>
      <c r="G128" s="154">
        <f t="shared" si="102"/>
        <v>0</v>
      </c>
      <c r="H128" s="154">
        <f t="shared" si="102"/>
        <v>0</v>
      </c>
      <c r="I128" s="154">
        <f t="shared" si="102"/>
        <v>0</v>
      </c>
      <c r="J128" s="154">
        <f t="shared" si="102"/>
        <v>0</v>
      </c>
      <c r="K128" s="154">
        <f t="shared" si="102"/>
        <v>0</v>
      </c>
      <c r="L128" s="154">
        <f t="shared" si="102"/>
        <v>0</v>
      </c>
      <c r="M128" s="154">
        <f t="shared" si="102"/>
        <v>0</v>
      </c>
      <c r="N128" s="154">
        <f t="shared" si="102"/>
        <v>0</v>
      </c>
      <c r="O128" s="154">
        <f t="shared" si="102"/>
        <v>0</v>
      </c>
      <c r="P128" s="154">
        <f t="shared" si="102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54">
        <f t="shared" si="100"/>
        <v>0</v>
      </c>
      <c r="F129" s="154">
        <f t="shared" si="102"/>
        <v>0</v>
      </c>
      <c r="G129" s="154">
        <f t="shared" si="102"/>
        <v>0</v>
      </c>
      <c r="H129" s="154">
        <f t="shared" si="102"/>
        <v>0</v>
      </c>
      <c r="I129" s="154">
        <f t="shared" si="102"/>
        <v>0</v>
      </c>
      <c r="J129" s="154">
        <f t="shared" si="102"/>
        <v>0</v>
      </c>
      <c r="K129" s="154">
        <f t="shared" si="102"/>
        <v>0</v>
      </c>
      <c r="L129" s="154">
        <f t="shared" si="102"/>
        <v>0</v>
      </c>
      <c r="M129" s="154">
        <f t="shared" si="102"/>
        <v>0</v>
      </c>
      <c r="N129" s="154">
        <f t="shared" si="102"/>
        <v>0</v>
      </c>
      <c r="O129" s="154">
        <f t="shared" si="102"/>
        <v>0</v>
      </c>
      <c r="P129" s="154">
        <f t="shared" si="102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54">
        <f t="shared" si="100"/>
        <v>0</v>
      </c>
      <c r="F130" s="154">
        <f t="shared" si="102"/>
        <v>0</v>
      </c>
      <c r="G130" s="154">
        <f t="shared" si="102"/>
        <v>0</v>
      </c>
      <c r="H130" s="154">
        <f t="shared" si="102"/>
        <v>0</v>
      </c>
      <c r="I130" s="154">
        <f t="shared" si="102"/>
        <v>0</v>
      </c>
      <c r="J130" s="154">
        <f t="shared" si="102"/>
        <v>0</v>
      </c>
      <c r="K130" s="154">
        <f t="shared" si="102"/>
        <v>0</v>
      </c>
      <c r="L130" s="154">
        <f t="shared" si="102"/>
        <v>0</v>
      </c>
      <c r="M130" s="154">
        <f t="shared" si="102"/>
        <v>0</v>
      </c>
      <c r="N130" s="154">
        <f t="shared" si="102"/>
        <v>0</v>
      </c>
      <c r="O130" s="154">
        <f t="shared" si="102"/>
        <v>0</v>
      </c>
      <c r="P130" s="154">
        <f t="shared" si="102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54">
        <f t="shared" si="100"/>
        <v>0</v>
      </c>
      <c r="F131" s="154">
        <f t="shared" si="102"/>
        <v>0</v>
      </c>
      <c r="G131" s="154">
        <f t="shared" si="102"/>
        <v>0</v>
      </c>
      <c r="H131" s="154">
        <f t="shared" si="102"/>
        <v>0</v>
      </c>
      <c r="I131" s="154">
        <f t="shared" si="102"/>
        <v>0</v>
      </c>
      <c r="J131" s="154">
        <f t="shared" si="102"/>
        <v>0</v>
      </c>
      <c r="K131" s="154">
        <f t="shared" si="102"/>
        <v>0</v>
      </c>
      <c r="L131" s="154">
        <f t="shared" si="102"/>
        <v>0</v>
      </c>
      <c r="M131" s="154">
        <f t="shared" si="102"/>
        <v>0</v>
      </c>
      <c r="N131" s="154">
        <f t="shared" si="102"/>
        <v>0</v>
      </c>
      <c r="O131" s="154">
        <f t="shared" si="102"/>
        <v>0</v>
      </c>
      <c r="P131" s="154">
        <f t="shared" si="102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100"/>
        <v>0</v>
      </c>
      <c r="F132" s="11">
        <f t="shared" si="102"/>
        <v>0</v>
      </c>
      <c r="G132" s="11">
        <f t="shared" si="102"/>
        <v>0</v>
      </c>
      <c r="H132" s="11">
        <f t="shared" si="102"/>
        <v>0</v>
      </c>
      <c r="I132" s="11">
        <f t="shared" si="102"/>
        <v>0</v>
      </c>
      <c r="J132" s="11">
        <f t="shared" si="102"/>
        <v>0</v>
      </c>
      <c r="K132" s="11">
        <f t="shared" si="102"/>
        <v>0</v>
      </c>
      <c r="L132" s="11">
        <f t="shared" si="102"/>
        <v>0</v>
      </c>
      <c r="M132" s="11">
        <f t="shared" si="102"/>
        <v>0</v>
      </c>
      <c r="N132" s="11">
        <f t="shared" si="102"/>
        <v>0</v>
      </c>
      <c r="O132" s="11">
        <f t="shared" si="102"/>
        <v>0</v>
      </c>
      <c r="P132" s="11">
        <f t="shared" si="102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54">
        <f>SUM(E127:E132)</f>
        <v>0</v>
      </c>
      <c r="F133" s="154">
        <f t="shared" ref="F133:P133" si="103">SUM(F127:F132)</f>
        <v>0</v>
      </c>
      <c r="G133" s="154">
        <f t="shared" si="103"/>
        <v>0</v>
      </c>
      <c r="H133" s="154">
        <f t="shared" si="103"/>
        <v>0</v>
      </c>
      <c r="I133" s="154">
        <f t="shared" si="103"/>
        <v>0</v>
      </c>
      <c r="J133" s="154">
        <f t="shared" si="103"/>
        <v>0</v>
      </c>
      <c r="K133" s="154">
        <f t="shared" si="103"/>
        <v>0</v>
      </c>
      <c r="L133" s="154">
        <f t="shared" si="103"/>
        <v>0</v>
      </c>
      <c r="M133" s="154">
        <f t="shared" si="103"/>
        <v>0</v>
      </c>
      <c r="N133" s="154">
        <f t="shared" si="103"/>
        <v>0</v>
      </c>
      <c r="O133" s="154">
        <f t="shared" si="103"/>
        <v>0</v>
      </c>
      <c r="P133" s="154">
        <f t="shared" si="103"/>
        <v>0</v>
      </c>
    </row>
    <row r="134" spans="1:16" s="2" customFormat="1" x14ac:dyDescent="0.25">
      <c r="A134" s="2">
        <v>540</v>
      </c>
      <c r="B134" s="18" t="s">
        <v>79</v>
      </c>
      <c r="C134" s="297" t="s">
        <v>734</v>
      </c>
      <c r="D134" s="164">
        <v>6000</v>
      </c>
      <c r="E134" s="154">
        <f>IF(E$182=0,0,$D134)</f>
        <v>6000</v>
      </c>
      <c r="F134" s="154">
        <f t="shared" ref="F134:P134" si="104">IF(F$182=0,0,$D134)</f>
        <v>6000</v>
      </c>
      <c r="G134" s="154">
        <f t="shared" si="104"/>
        <v>6000</v>
      </c>
      <c r="H134" s="154">
        <f t="shared" si="104"/>
        <v>6000</v>
      </c>
      <c r="I134" s="154">
        <f t="shared" si="104"/>
        <v>6000</v>
      </c>
      <c r="J134" s="154">
        <f t="shared" si="104"/>
        <v>6000</v>
      </c>
      <c r="K134" s="154">
        <f t="shared" si="104"/>
        <v>6000</v>
      </c>
      <c r="L134" s="154">
        <f t="shared" si="104"/>
        <v>6000</v>
      </c>
      <c r="M134" s="154">
        <f t="shared" si="104"/>
        <v>6000</v>
      </c>
      <c r="N134" s="154">
        <f t="shared" si="104"/>
        <v>6000</v>
      </c>
      <c r="O134" s="154">
        <f t="shared" si="104"/>
        <v>6000</v>
      </c>
      <c r="P134" s="154">
        <f t="shared" si="104"/>
        <v>6000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25</v>
      </c>
      <c r="E135" s="154">
        <f t="shared" ref="E135:P137" si="105">IF(E$182=0,0,ROUND(($D135*(1+E$11))*E$182,0))</f>
        <v>2250</v>
      </c>
      <c r="F135" s="154">
        <f t="shared" si="105"/>
        <v>3315</v>
      </c>
      <c r="G135" s="154">
        <f t="shared" si="105"/>
        <v>3900</v>
      </c>
      <c r="H135" s="154">
        <f t="shared" si="105"/>
        <v>4187</v>
      </c>
      <c r="I135" s="154">
        <f t="shared" si="105"/>
        <v>4482</v>
      </c>
      <c r="J135" s="154">
        <f t="shared" si="105"/>
        <v>4785</v>
      </c>
      <c r="K135" s="154">
        <f t="shared" si="105"/>
        <v>5124</v>
      </c>
      <c r="L135" s="154">
        <f t="shared" si="105"/>
        <v>5472</v>
      </c>
      <c r="M135" s="154">
        <f t="shared" si="105"/>
        <v>5858</v>
      </c>
      <c r="N135" s="154">
        <f t="shared" si="105"/>
        <v>6254</v>
      </c>
      <c r="O135" s="154">
        <f t="shared" si="105"/>
        <v>6690</v>
      </c>
      <c r="P135" s="154">
        <f t="shared" si="105"/>
        <v>7137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746</v>
      </c>
      <c r="D136" s="85">
        <v>875</v>
      </c>
      <c r="E136" s="154">
        <f>IF(E$182=0,0,ROUND(($D136*(1+E$11))*E$182,0))</f>
        <v>78750</v>
      </c>
      <c r="F136" s="154">
        <f t="shared" si="105"/>
        <v>116025</v>
      </c>
      <c r="G136" s="154">
        <f t="shared" si="105"/>
        <v>136500</v>
      </c>
      <c r="H136" s="154">
        <f t="shared" si="105"/>
        <v>146545</v>
      </c>
      <c r="I136" s="154">
        <f t="shared" si="105"/>
        <v>156870</v>
      </c>
      <c r="J136" s="154">
        <f t="shared" si="105"/>
        <v>167475</v>
      </c>
      <c r="K136" s="154">
        <f t="shared" si="105"/>
        <v>179340</v>
      </c>
      <c r="L136" s="154">
        <f t="shared" si="105"/>
        <v>191520</v>
      </c>
      <c r="M136" s="154">
        <f t="shared" si="105"/>
        <v>205030</v>
      </c>
      <c r="N136" s="154">
        <f t="shared" si="105"/>
        <v>218890</v>
      </c>
      <c r="O136" s="154">
        <f t="shared" si="105"/>
        <v>234150</v>
      </c>
      <c r="P136" s="154">
        <f t="shared" si="105"/>
        <v>249795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747</v>
      </c>
      <c r="D137" s="85">
        <v>1175</v>
      </c>
      <c r="E137" s="11">
        <f>IF(E$182*E13=0,0,ROUND(($D137*(1+E$11))*E$182*E13,0))</f>
        <v>116325</v>
      </c>
      <c r="F137" s="11">
        <f t="shared" si="105"/>
        <v>155805</v>
      </c>
      <c r="G137" s="11">
        <f t="shared" si="105"/>
        <v>183300</v>
      </c>
      <c r="H137" s="11">
        <f t="shared" si="105"/>
        <v>196789</v>
      </c>
      <c r="I137" s="11">
        <f t="shared" si="105"/>
        <v>210654</v>
      </c>
      <c r="J137" s="11">
        <f t="shared" si="105"/>
        <v>224895</v>
      </c>
      <c r="K137" s="11">
        <f t="shared" si="105"/>
        <v>240828</v>
      </c>
      <c r="L137" s="11">
        <f t="shared" si="105"/>
        <v>257184</v>
      </c>
      <c r="M137" s="11">
        <f t="shared" si="105"/>
        <v>275326</v>
      </c>
      <c r="N137" s="11">
        <f t="shared" si="105"/>
        <v>293938</v>
      </c>
      <c r="O137" s="11">
        <f t="shared" si="105"/>
        <v>314430</v>
      </c>
      <c r="P137" s="11">
        <f t="shared" si="105"/>
        <v>335439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54">
        <f>SUM(E135:E137)</f>
        <v>197325</v>
      </c>
      <c r="F138" s="154">
        <f t="shared" ref="F138:P138" si="106">SUM(F135:F137)</f>
        <v>275145</v>
      </c>
      <c r="G138" s="154">
        <f t="shared" si="106"/>
        <v>323700</v>
      </c>
      <c r="H138" s="154">
        <f t="shared" si="106"/>
        <v>347521</v>
      </c>
      <c r="I138" s="154">
        <f t="shared" si="106"/>
        <v>372006</v>
      </c>
      <c r="J138" s="154">
        <f t="shared" si="106"/>
        <v>397155</v>
      </c>
      <c r="K138" s="154">
        <f t="shared" si="106"/>
        <v>425292</v>
      </c>
      <c r="L138" s="154">
        <f t="shared" si="106"/>
        <v>454176</v>
      </c>
      <c r="M138" s="154">
        <f t="shared" si="106"/>
        <v>486214</v>
      </c>
      <c r="N138" s="154">
        <f t="shared" si="106"/>
        <v>519082</v>
      </c>
      <c r="O138" s="154">
        <f t="shared" si="106"/>
        <v>555270</v>
      </c>
      <c r="P138" s="154">
        <f t="shared" si="106"/>
        <v>592371</v>
      </c>
    </row>
    <row r="139" spans="1:16" s="2" customFormat="1" x14ac:dyDescent="0.25">
      <c r="A139" s="2">
        <v>580</v>
      </c>
      <c r="B139" s="18" t="s">
        <v>289</v>
      </c>
      <c r="C139" s="303" t="s">
        <v>627</v>
      </c>
      <c r="D139" s="85">
        <v>1500</v>
      </c>
      <c r="E139" s="154">
        <f>IF(E$182=0,0,ROUND(($D139*(1+E$11))*(E$205-E$202),0))</f>
        <v>1500</v>
      </c>
      <c r="F139" s="154">
        <f t="shared" ref="F139:P139" si="107">IF(F$182=0,0,ROUND(($D139*(1+F$11))*(F$205-F$202),0))</f>
        <v>3060</v>
      </c>
      <c r="G139" s="154">
        <f t="shared" si="107"/>
        <v>3120</v>
      </c>
      <c r="H139" s="154">
        <f t="shared" si="107"/>
        <v>3180</v>
      </c>
      <c r="I139" s="154">
        <f t="shared" si="107"/>
        <v>3240</v>
      </c>
      <c r="J139" s="154">
        <f t="shared" si="107"/>
        <v>3300</v>
      </c>
      <c r="K139" s="154">
        <f t="shared" si="107"/>
        <v>3360</v>
      </c>
      <c r="L139" s="154">
        <f t="shared" si="107"/>
        <v>4275</v>
      </c>
      <c r="M139" s="154">
        <f t="shared" si="107"/>
        <v>4350</v>
      </c>
      <c r="N139" s="154">
        <f t="shared" si="107"/>
        <v>4425</v>
      </c>
      <c r="O139" s="154">
        <f t="shared" si="107"/>
        <v>4500</v>
      </c>
      <c r="P139" s="154">
        <f t="shared" si="107"/>
        <v>4575</v>
      </c>
    </row>
    <row r="140" spans="1:16" s="2" customFormat="1" x14ac:dyDescent="0.25">
      <c r="A140" s="2">
        <v>610</v>
      </c>
      <c r="B140" s="18" t="s">
        <v>465</v>
      </c>
      <c r="C140" s="303" t="s">
        <v>625</v>
      </c>
      <c r="D140" s="85">
        <v>75</v>
      </c>
      <c r="E140" s="154">
        <f>IF(E$182=0,0,ROUND(($D140*(1+E$11))*(E$205-E$202)*12,0))</f>
        <v>900</v>
      </c>
      <c r="F140" s="154">
        <f t="shared" ref="F140:P140" si="108">IF(F$182=0,0,ROUND(($D140*(1+F$11))*(F$205-F$202)*12,0))</f>
        <v>1836</v>
      </c>
      <c r="G140" s="154">
        <f t="shared" si="108"/>
        <v>1872</v>
      </c>
      <c r="H140" s="154">
        <f t="shared" si="108"/>
        <v>1908</v>
      </c>
      <c r="I140" s="154">
        <f t="shared" si="108"/>
        <v>1944</v>
      </c>
      <c r="J140" s="154">
        <f t="shared" si="108"/>
        <v>1980</v>
      </c>
      <c r="K140" s="154">
        <f t="shared" si="108"/>
        <v>2016</v>
      </c>
      <c r="L140" s="154">
        <f t="shared" si="108"/>
        <v>2565</v>
      </c>
      <c r="M140" s="154">
        <f t="shared" si="108"/>
        <v>2610</v>
      </c>
      <c r="N140" s="154">
        <f t="shared" si="108"/>
        <v>2655</v>
      </c>
      <c r="O140" s="154">
        <f t="shared" si="108"/>
        <v>2700</v>
      </c>
      <c r="P140" s="154">
        <f t="shared" si="108"/>
        <v>2745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150</v>
      </c>
      <c r="E141" s="154">
        <f t="shared" ref="E141:P141" si="109">IF(E$182=0,0,ROUND($D141*12*(1+E$11),0))</f>
        <v>1800</v>
      </c>
      <c r="F141" s="154">
        <f t="shared" si="109"/>
        <v>1836</v>
      </c>
      <c r="G141" s="154">
        <f t="shared" si="109"/>
        <v>1872</v>
      </c>
      <c r="H141" s="154">
        <f t="shared" si="109"/>
        <v>1908</v>
      </c>
      <c r="I141" s="154">
        <f t="shared" si="109"/>
        <v>1944</v>
      </c>
      <c r="J141" s="154">
        <f t="shared" si="109"/>
        <v>1980</v>
      </c>
      <c r="K141" s="154">
        <f t="shared" si="109"/>
        <v>2016</v>
      </c>
      <c r="L141" s="154">
        <f t="shared" si="109"/>
        <v>2052</v>
      </c>
      <c r="M141" s="154">
        <f t="shared" si="109"/>
        <v>2088</v>
      </c>
      <c r="N141" s="154">
        <f t="shared" si="109"/>
        <v>2124</v>
      </c>
      <c r="O141" s="154">
        <f t="shared" si="109"/>
        <v>2160</v>
      </c>
      <c r="P141" s="154">
        <f t="shared" si="109"/>
        <v>2196</v>
      </c>
    </row>
    <row r="142" spans="1:16" s="2" customFormat="1" x14ac:dyDescent="0.25">
      <c r="A142" s="2">
        <v>641</v>
      </c>
      <c r="B142" s="18" t="s">
        <v>53</v>
      </c>
      <c r="C142" s="18" t="s">
        <v>586</v>
      </c>
      <c r="D142" s="85">
        <v>50</v>
      </c>
      <c r="E142" s="154">
        <f t="shared" ref="E142:P144" si="110">IF(E$182=0,0,ROUND(($D142*(1+E$11))*E$182,0))</f>
        <v>4500</v>
      </c>
      <c r="F142" s="154">
        <f t="shared" si="110"/>
        <v>6630</v>
      </c>
      <c r="G142" s="154">
        <f t="shared" si="110"/>
        <v>7800</v>
      </c>
      <c r="H142" s="154">
        <f t="shared" si="110"/>
        <v>8374</v>
      </c>
      <c r="I142" s="154">
        <f t="shared" si="110"/>
        <v>8964</v>
      </c>
      <c r="J142" s="154">
        <f t="shared" si="110"/>
        <v>9570</v>
      </c>
      <c r="K142" s="154">
        <f t="shared" si="110"/>
        <v>10248</v>
      </c>
      <c r="L142" s="154">
        <f t="shared" si="110"/>
        <v>10944</v>
      </c>
      <c r="M142" s="154">
        <f t="shared" si="110"/>
        <v>11716</v>
      </c>
      <c r="N142" s="154">
        <f t="shared" si="110"/>
        <v>12508</v>
      </c>
      <c r="O142" s="154">
        <f t="shared" si="110"/>
        <v>13380</v>
      </c>
      <c r="P142" s="154">
        <f t="shared" si="110"/>
        <v>14274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10"/>
        <v>2700</v>
      </c>
      <c r="F143" s="154">
        <f t="shared" si="110"/>
        <v>3978</v>
      </c>
      <c r="G143" s="154">
        <f t="shared" si="110"/>
        <v>4680</v>
      </c>
      <c r="H143" s="154">
        <f t="shared" si="110"/>
        <v>5024</v>
      </c>
      <c r="I143" s="154">
        <f t="shared" si="110"/>
        <v>5378</v>
      </c>
      <c r="J143" s="154">
        <f t="shared" si="110"/>
        <v>5742</v>
      </c>
      <c r="K143" s="154">
        <f t="shared" si="110"/>
        <v>6149</v>
      </c>
      <c r="L143" s="154">
        <f t="shared" si="110"/>
        <v>6566</v>
      </c>
      <c r="M143" s="154">
        <f t="shared" si="110"/>
        <v>7030</v>
      </c>
      <c r="N143" s="154">
        <f t="shared" si="110"/>
        <v>7505</v>
      </c>
      <c r="O143" s="154">
        <f t="shared" si="110"/>
        <v>8028</v>
      </c>
      <c r="P143" s="154">
        <f t="shared" si="110"/>
        <v>8564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10"/>
        <v>3600</v>
      </c>
      <c r="F144" s="11">
        <f t="shared" si="110"/>
        <v>5304</v>
      </c>
      <c r="G144" s="11">
        <f t="shared" si="110"/>
        <v>6240</v>
      </c>
      <c r="H144" s="11">
        <f t="shared" si="110"/>
        <v>6699</v>
      </c>
      <c r="I144" s="11">
        <f t="shared" si="110"/>
        <v>7171</v>
      </c>
      <c r="J144" s="11">
        <f t="shared" si="110"/>
        <v>7656</v>
      </c>
      <c r="K144" s="11">
        <f t="shared" si="110"/>
        <v>8198</v>
      </c>
      <c r="L144" s="11">
        <f t="shared" si="110"/>
        <v>8755</v>
      </c>
      <c r="M144" s="11">
        <f t="shared" si="110"/>
        <v>9373</v>
      </c>
      <c r="N144" s="11">
        <f t="shared" si="110"/>
        <v>10006</v>
      </c>
      <c r="O144" s="11">
        <f t="shared" si="110"/>
        <v>10704</v>
      </c>
      <c r="P144" s="11">
        <f t="shared" si="110"/>
        <v>11419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54">
        <f>SUM(E142:E144)</f>
        <v>10800</v>
      </c>
      <c r="F145" s="154">
        <f t="shared" ref="F145:P145" si="111">SUM(F142:F144)</f>
        <v>15912</v>
      </c>
      <c r="G145" s="154">
        <f t="shared" si="111"/>
        <v>18720</v>
      </c>
      <c r="H145" s="154">
        <f t="shared" si="111"/>
        <v>20097</v>
      </c>
      <c r="I145" s="154">
        <f t="shared" si="111"/>
        <v>21513</v>
      </c>
      <c r="J145" s="154">
        <f t="shared" si="111"/>
        <v>22968</v>
      </c>
      <c r="K145" s="154">
        <f t="shared" si="111"/>
        <v>24595</v>
      </c>
      <c r="L145" s="154">
        <f t="shared" si="111"/>
        <v>26265</v>
      </c>
      <c r="M145" s="154">
        <f t="shared" si="111"/>
        <v>28119</v>
      </c>
      <c r="N145" s="154">
        <f t="shared" si="111"/>
        <v>30019</v>
      </c>
      <c r="O145" s="154">
        <f t="shared" si="111"/>
        <v>32112</v>
      </c>
      <c r="P145" s="154">
        <f t="shared" si="111"/>
        <v>34257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54">
        <f t="shared" ref="E146:P147" si="112">IF(E$182=0,0,ROUND(($D146*E$182)*(1+E$11),0))</f>
        <v>9000</v>
      </c>
      <c r="F146" s="154">
        <f t="shared" si="112"/>
        <v>13260</v>
      </c>
      <c r="G146" s="154">
        <f t="shared" si="112"/>
        <v>15600</v>
      </c>
      <c r="H146" s="154">
        <f t="shared" si="112"/>
        <v>16748</v>
      </c>
      <c r="I146" s="154">
        <f t="shared" si="112"/>
        <v>17928</v>
      </c>
      <c r="J146" s="154">
        <f t="shared" si="112"/>
        <v>19140</v>
      </c>
      <c r="K146" s="154">
        <f t="shared" si="112"/>
        <v>20496</v>
      </c>
      <c r="L146" s="154">
        <f t="shared" si="112"/>
        <v>21888</v>
      </c>
      <c r="M146" s="154">
        <f t="shared" si="112"/>
        <v>23432</v>
      </c>
      <c r="N146" s="154">
        <f t="shared" si="112"/>
        <v>25016</v>
      </c>
      <c r="O146" s="154">
        <f t="shared" si="112"/>
        <v>26760</v>
      </c>
      <c r="P146" s="154">
        <f t="shared" si="112"/>
        <v>28548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2"/>
        <v>10350</v>
      </c>
      <c r="F147" s="11">
        <f t="shared" si="112"/>
        <v>15249</v>
      </c>
      <c r="G147" s="11">
        <f t="shared" si="112"/>
        <v>17940</v>
      </c>
      <c r="H147" s="11">
        <f t="shared" si="112"/>
        <v>19260</v>
      </c>
      <c r="I147" s="11">
        <f t="shared" si="112"/>
        <v>20617</v>
      </c>
      <c r="J147" s="11">
        <f t="shared" si="112"/>
        <v>22011</v>
      </c>
      <c r="K147" s="11">
        <f t="shared" si="112"/>
        <v>23570</v>
      </c>
      <c r="L147" s="11">
        <f t="shared" si="112"/>
        <v>25171</v>
      </c>
      <c r="M147" s="11">
        <f t="shared" si="112"/>
        <v>26947</v>
      </c>
      <c r="N147" s="11">
        <f t="shared" si="112"/>
        <v>28768</v>
      </c>
      <c r="O147" s="11">
        <f t="shared" si="112"/>
        <v>30774</v>
      </c>
      <c r="P147" s="11">
        <f t="shared" si="112"/>
        <v>32830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54">
        <f>SUM(E146:E147)</f>
        <v>19350</v>
      </c>
      <c r="F148" s="154">
        <f t="shared" ref="F148:P148" si="113">SUM(F146:F147)</f>
        <v>28509</v>
      </c>
      <c r="G148" s="154">
        <f t="shared" si="113"/>
        <v>33540</v>
      </c>
      <c r="H148" s="154">
        <f t="shared" si="113"/>
        <v>36008</v>
      </c>
      <c r="I148" s="154">
        <f t="shared" si="113"/>
        <v>38545</v>
      </c>
      <c r="J148" s="154">
        <f t="shared" si="113"/>
        <v>41151</v>
      </c>
      <c r="K148" s="154">
        <f t="shared" si="113"/>
        <v>44066</v>
      </c>
      <c r="L148" s="154">
        <f t="shared" si="113"/>
        <v>47059</v>
      </c>
      <c r="M148" s="154">
        <f t="shared" si="113"/>
        <v>50379</v>
      </c>
      <c r="N148" s="154">
        <f t="shared" si="113"/>
        <v>53784</v>
      </c>
      <c r="O148" s="154">
        <f t="shared" si="113"/>
        <v>57534</v>
      </c>
      <c r="P148" s="154">
        <f t="shared" si="113"/>
        <v>61378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54">
        <f>IF(E$182=0,0,($D149*12))</f>
        <v>0</v>
      </c>
      <c r="F149" s="154">
        <f t="shared" ref="F149:P151" si="114">IF(F$182=0,0,($D149*12))</f>
        <v>0</v>
      </c>
      <c r="G149" s="154">
        <f t="shared" si="114"/>
        <v>0</v>
      </c>
      <c r="H149" s="154">
        <f t="shared" si="114"/>
        <v>0</v>
      </c>
      <c r="I149" s="154">
        <f t="shared" si="114"/>
        <v>0</v>
      </c>
      <c r="J149" s="154">
        <f t="shared" si="114"/>
        <v>0</v>
      </c>
      <c r="K149" s="154">
        <f t="shared" si="114"/>
        <v>0</v>
      </c>
      <c r="L149" s="154">
        <f t="shared" si="114"/>
        <v>0</v>
      </c>
      <c r="M149" s="154">
        <f t="shared" si="114"/>
        <v>0</v>
      </c>
      <c r="N149" s="154">
        <f t="shared" si="114"/>
        <v>0</v>
      </c>
      <c r="O149" s="154">
        <f t="shared" si="114"/>
        <v>0</v>
      </c>
      <c r="P149" s="154">
        <f t="shared" si="114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54">
        <f>IF(E$182=0,0,($D150*12))</f>
        <v>0</v>
      </c>
      <c r="F150" s="154">
        <f t="shared" si="114"/>
        <v>0</v>
      </c>
      <c r="G150" s="154">
        <f t="shared" si="114"/>
        <v>0</v>
      </c>
      <c r="H150" s="154">
        <f t="shared" si="114"/>
        <v>0</v>
      </c>
      <c r="I150" s="154">
        <f t="shared" si="114"/>
        <v>0</v>
      </c>
      <c r="J150" s="154">
        <f t="shared" si="114"/>
        <v>0</v>
      </c>
      <c r="K150" s="154">
        <f t="shared" si="114"/>
        <v>0</v>
      </c>
      <c r="L150" s="154">
        <f t="shared" si="114"/>
        <v>0</v>
      </c>
      <c r="M150" s="154">
        <f t="shared" si="114"/>
        <v>0</v>
      </c>
      <c r="N150" s="154">
        <f t="shared" si="114"/>
        <v>0</v>
      </c>
      <c r="O150" s="154">
        <f t="shared" si="114"/>
        <v>0</v>
      </c>
      <c r="P150" s="154">
        <f t="shared" si="114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54">
        <f>IF(E$182=0,0,($D151*12))</f>
        <v>0</v>
      </c>
      <c r="F151" s="154">
        <f t="shared" si="114"/>
        <v>0</v>
      </c>
      <c r="G151" s="154">
        <f t="shared" si="114"/>
        <v>0</v>
      </c>
      <c r="H151" s="154">
        <f t="shared" si="114"/>
        <v>0</v>
      </c>
      <c r="I151" s="154">
        <f t="shared" si="114"/>
        <v>0</v>
      </c>
      <c r="J151" s="154">
        <f t="shared" si="114"/>
        <v>0</v>
      </c>
      <c r="K151" s="154">
        <f t="shared" si="114"/>
        <v>0</v>
      </c>
      <c r="L151" s="154">
        <f t="shared" si="114"/>
        <v>0</v>
      </c>
      <c r="M151" s="154">
        <f t="shared" si="114"/>
        <v>0</v>
      </c>
      <c r="N151" s="154">
        <f t="shared" si="114"/>
        <v>0</v>
      </c>
      <c r="O151" s="154">
        <f t="shared" si="114"/>
        <v>0</v>
      </c>
      <c r="P151" s="154">
        <f t="shared" si="114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54">
        <f t="shared" ref="E152:E159" si="115">IF(E$182=0,0,$D152)</f>
        <v>0</v>
      </c>
      <c r="F152" s="154">
        <f t="shared" ref="F152:P159" si="116">IF(F$182=0,0,$D152)</f>
        <v>0</v>
      </c>
      <c r="G152" s="154">
        <f t="shared" si="116"/>
        <v>0</v>
      </c>
      <c r="H152" s="154">
        <f t="shared" si="116"/>
        <v>0</v>
      </c>
      <c r="I152" s="154">
        <f t="shared" si="116"/>
        <v>0</v>
      </c>
      <c r="J152" s="154">
        <f t="shared" si="116"/>
        <v>0</v>
      </c>
      <c r="K152" s="154">
        <f t="shared" si="116"/>
        <v>0</v>
      </c>
      <c r="L152" s="154">
        <f t="shared" si="116"/>
        <v>0</v>
      </c>
      <c r="M152" s="154">
        <f t="shared" si="116"/>
        <v>0</v>
      </c>
      <c r="N152" s="154">
        <f t="shared" si="116"/>
        <v>0</v>
      </c>
      <c r="O152" s="154">
        <f t="shared" si="116"/>
        <v>0</v>
      </c>
      <c r="P152" s="154">
        <f t="shared" si="116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54">
        <f t="shared" si="115"/>
        <v>0</v>
      </c>
      <c r="F153" s="154">
        <f t="shared" si="116"/>
        <v>0</v>
      </c>
      <c r="G153" s="154">
        <f t="shared" si="116"/>
        <v>0</v>
      </c>
      <c r="H153" s="154">
        <f t="shared" si="116"/>
        <v>0</v>
      </c>
      <c r="I153" s="154">
        <f t="shared" si="116"/>
        <v>0</v>
      </c>
      <c r="J153" s="154">
        <f t="shared" si="116"/>
        <v>0</v>
      </c>
      <c r="K153" s="154">
        <f t="shared" si="116"/>
        <v>0</v>
      </c>
      <c r="L153" s="154">
        <f t="shared" si="116"/>
        <v>0</v>
      </c>
      <c r="M153" s="154">
        <f t="shared" si="116"/>
        <v>0</v>
      </c>
      <c r="N153" s="154">
        <f t="shared" si="116"/>
        <v>0</v>
      </c>
      <c r="O153" s="154">
        <f t="shared" si="116"/>
        <v>0</v>
      </c>
      <c r="P153" s="154">
        <f t="shared" si="116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54">
        <f t="shared" si="115"/>
        <v>0</v>
      </c>
      <c r="F154" s="154">
        <f t="shared" si="116"/>
        <v>0</v>
      </c>
      <c r="G154" s="154">
        <f t="shared" si="116"/>
        <v>0</v>
      </c>
      <c r="H154" s="154">
        <f t="shared" si="116"/>
        <v>0</v>
      </c>
      <c r="I154" s="154">
        <f t="shared" si="116"/>
        <v>0</v>
      </c>
      <c r="J154" s="154">
        <f t="shared" si="116"/>
        <v>0</v>
      </c>
      <c r="K154" s="154">
        <f t="shared" si="116"/>
        <v>0</v>
      </c>
      <c r="L154" s="154">
        <f t="shared" si="116"/>
        <v>0</v>
      </c>
      <c r="M154" s="154">
        <f t="shared" si="116"/>
        <v>0</v>
      </c>
      <c r="N154" s="154">
        <f t="shared" si="116"/>
        <v>0</v>
      </c>
      <c r="O154" s="154">
        <f t="shared" si="116"/>
        <v>0</v>
      </c>
      <c r="P154" s="154">
        <f t="shared" si="116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54">
        <f t="shared" si="115"/>
        <v>0</v>
      </c>
      <c r="F155" s="154">
        <f t="shared" si="116"/>
        <v>0</v>
      </c>
      <c r="G155" s="154">
        <f t="shared" si="116"/>
        <v>0</v>
      </c>
      <c r="H155" s="154">
        <f t="shared" si="116"/>
        <v>0</v>
      </c>
      <c r="I155" s="154">
        <f t="shared" si="116"/>
        <v>0</v>
      </c>
      <c r="J155" s="154">
        <f t="shared" si="116"/>
        <v>0</v>
      </c>
      <c r="K155" s="154">
        <f t="shared" si="116"/>
        <v>0</v>
      </c>
      <c r="L155" s="154">
        <f t="shared" si="116"/>
        <v>0</v>
      </c>
      <c r="M155" s="154">
        <f t="shared" si="116"/>
        <v>0</v>
      </c>
      <c r="N155" s="154">
        <f t="shared" si="116"/>
        <v>0</v>
      </c>
      <c r="O155" s="154">
        <f t="shared" si="116"/>
        <v>0</v>
      </c>
      <c r="P155" s="154">
        <f t="shared" si="116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54">
        <f t="shared" si="115"/>
        <v>0</v>
      </c>
      <c r="F156" s="154">
        <f t="shared" si="116"/>
        <v>0</v>
      </c>
      <c r="G156" s="154">
        <f t="shared" si="116"/>
        <v>0</v>
      </c>
      <c r="H156" s="154">
        <f t="shared" si="116"/>
        <v>0</v>
      </c>
      <c r="I156" s="154">
        <f t="shared" si="116"/>
        <v>0</v>
      </c>
      <c r="J156" s="154">
        <f t="shared" si="116"/>
        <v>0</v>
      </c>
      <c r="K156" s="154">
        <f t="shared" si="116"/>
        <v>0</v>
      </c>
      <c r="L156" s="154">
        <f t="shared" si="116"/>
        <v>0</v>
      </c>
      <c r="M156" s="154">
        <f t="shared" si="116"/>
        <v>0</v>
      </c>
      <c r="N156" s="154">
        <f t="shared" si="116"/>
        <v>0</v>
      </c>
      <c r="O156" s="154">
        <f t="shared" si="116"/>
        <v>0</v>
      </c>
      <c r="P156" s="154">
        <f t="shared" si="116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604</v>
      </c>
      <c r="D157" s="85">
        <v>0</v>
      </c>
      <c r="E157" s="154">
        <f t="shared" si="115"/>
        <v>0</v>
      </c>
      <c r="F157" s="154">
        <f t="shared" si="116"/>
        <v>0</v>
      </c>
      <c r="G157" s="154">
        <f t="shared" si="116"/>
        <v>0</v>
      </c>
      <c r="H157" s="154">
        <f t="shared" si="116"/>
        <v>0</v>
      </c>
      <c r="I157" s="154">
        <f t="shared" si="116"/>
        <v>0</v>
      </c>
      <c r="J157" s="154">
        <f t="shared" si="116"/>
        <v>0</v>
      </c>
      <c r="K157" s="154">
        <f t="shared" si="116"/>
        <v>0</v>
      </c>
      <c r="L157" s="154">
        <f t="shared" si="116"/>
        <v>0</v>
      </c>
      <c r="M157" s="154">
        <f t="shared" si="116"/>
        <v>0</v>
      </c>
      <c r="N157" s="154">
        <f t="shared" si="116"/>
        <v>0</v>
      </c>
      <c r="O157" s="154">
        <f t="shared" si="116"/>
        <v>0</v>
      </c>
      <c r="P157" s="154">
        <f t="shared" si="116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604</v>
      </c>
      <c r="D158" s="85">
        <v>0</v>
      </c>
      <c r="E158" s="154">
        <f t="shared" si="115"/>
        <v>0</v>
      </c>
      <c r="F158" s="154">
        <f t="shared" si="116"/>
        <v>0</v>
      </c>
      <c r="G158" s="154">
        <f t="shared" si="116"/>
        <v>0</v>
      </c>
      <c r="H158" s="154">
        <f t="shared" si="116"/>
        <v>0</v>
      </c>
      <c r="I158" s="154">
        <f t="shared" si="116"/>
        <v>0</v>
      </c>
      <c r="J158" s="154">
        <f t="shared" si="116"/>
        <v>0</v>
      </c>
      <c r="K158" s="154">
        <f t="shared" si="116"/>
        <v>0</v>
      </c>
      <c r="L158" s="154">
        <f t="shared" si="116"/>
        <v>0</v>
      </c>
      <c r="M158" s="154">
        <f t="shared" si="116"/>
        <v>0</v>
      </c>
      <c r="N158" s="154">
        <f t="shared" si="116"/>
        <v>0</v>
      </c>
      <c r="O158" s="154">
        <f t="shared" si="116"/>
        <v>0</v>
      </c>
      <c r="P158" s="154">
        <f t="shared" si="116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11">
        <f t="shared" si="115"/>
        <v>0</v>
      </c>
      <c r="F159" s="11">
        <f t="shared" si="116"/>
        <v>0</v>
      </c>
      <c r="G159" s="11">
        <f t="shared" si="116"/>
        <v>0</v>
      </c>
      <c r="H159" s="11">
        <f t="shared" si="116"/>
        <v>0</v>
      </c>
      <c r="I159" s="11">
        <f t="shared" si="116"/>
        <v>0</v>
      </c>
      <c r="J159" s="11">
        <f t="shared" si="116"/>
        <v>0</v>
      </c>
      <c r="K159" s="11">
        <f t="shared" si="116"/>
        <v>0</v>
      </c>
      <c r="L159" s="11">
        <f t="shared" si="116"/>
        <v>0</v>
      </c>
      <c r="M159" s="11">
        <f t="shared" si="116"/>
        <v>0</v>
      </c>
      <c r="N159" s="11">
        <f t="shared" si="116"/>
        <v>0</v>
      </c>
      <c r="O159" s="11">
        <f t="shared" si="116"/>
        <v>0</v>
      </c>
      <c r="P159" s="11">
        <f t="shared" si="116"/>
        <v>0</v>
      </c>
    </row>
    <row r="160" spans="1:16" s="2" customFormat="1" collapsed="1" x14ac:dyDescent="0.25">
      <c r="A160" s="2">
        <v>651</v>
      </c>
      <c r="B160" s="18" t="s">
        <v>469</v>
      </c>
      <c r="D160" s="164"/>
      <c r="E160" s="154">
        <f>SUM(E149:E159)</f>
        <v>0</v>
      </c>
      <c r="F160" s="154">
        <f t="shared" ref="F160:P160" si="117">SUM(F149:F159)</f>
        <v>0</v>
      </c>
      <c r="G160" s="154">
        <f t="shared" si="117"/>
        <v>0</v>
      </c>
      <c r="H160" s="154">
        <f t="shared" si="117"/>
        <v>0</v>
      </c>
      <c r="I160" s="154">
        <f t="shared" si="117"/>
        <v>0</v>
      </c>
      <c r="J160" s="154">
        <f t="shared" si="117"/>
        <v>0</v>
      </c>
      <c r="K160" s="154">
        <f t="shared" si="117"/>
        <v>0</v>
      </c>
      <c r="L160" s="154">
        <f t="shared" si="117"/>
        <v>0</v>
      </c>
      <c r="M160" s="154">
        <f t="shared" si="117"/>
        <v>0</v>
      </c>
      <c r="N160" s="154">
        <f t="shared" si="117"/>
        <v>0</v>
      </c>
      <c r="O160" s="154">
        <f t="shared" si="117"/>
        <v>0</v>
      </c>
      <c r="P160" s="154">
        <f t="shared" si="117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2" t="s">
        <v>638</v>
      </c>
      <c r="D161" s="85">
        <v>500</v>
      </c>
      <c r="E161" s="154">
        <v>0</v>
      </c>
      <c r="F161" s="154">
        <f>IF(F$182=0,0,(ROUND(0.1*F182,0)*$D161))</f>
        <v>6500</v>
      </c>
      <c r="G161" s="154">
        <v>0</v>
      </c>
      <c r="H161" s="154">
        <v>0</v>
      </c>
      <c r="I161" s="154">
        <v>0</v>
      </c>
      <c r="J161" s="154">
        <f>IF(J$182=0,0,(ROUND(0.1*J182,0)*$D161))</f>
        <v>8500</v>
      </c>
      <c r="K161" s="154">
        <v>0</v>
      </c>
      <c r="L161" s="154">
        <v>0</v>
      </c>
      <c r="M161" s="154">
        <v>0</v>
      </c>
      <c r="N161" s="154">
        <f>IF(N$182=0,0,(ROUND(0.1*N182,0)*$D161))</f>
        <v>10500</v>
      </c>
      <c r="O161" s="154">
        <v>0</v>
      </c>
      <c r="P161" s="154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618</v>
      </c>
      <c r="D162" s="85">
        <v>5000</v>
      </c>
      <c r="E162" s="154">
        <v>0</v>
      </c>
      <c r="F162" s="154">
        <v>0</v>
      </c>
      <c r="G162" s="154">
        <v>0</v>
      </c>
      <c r="H162" s="154">
        <v>0</v>
      </c>
      <c r="I162" s="154">
        <f>IF(I$182=0,0,$D162)</f>
        <v>5000</v>
      </c>
      <c r="J162" s="154">
        <v>0</v>
      </c>
      <c r="K162" s="154">
        <v>0</v>
      </c>
      <c r="L162" s="154">
        <v>0</v>
      </c>
      <c r="M162" s="154">
        <v>0</v>
      </c>
      <c r="N162" s="154">
        <v>0</v>
      </c>
      <c r="O162" s="154">
        <f>IF(O$182=0,0,$D162)</f>
        <v>5000</v>
      </c>
      <c r="P162" s="154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619</v>
      </c>
      <c r="D163" s="85">
        <v>3000</v>
      </c>
      <c r="E163" s="11">
        <v>0</v>
      </c>
      <c r="F163" s="11">
        <v>0</v>
      </c>
      <c r="G163" s="11">
        <v>0</v>
      </c>
      <c r="H163" s="11">
        <f>IF(H$182=0,0,$D163)</f>
        <v>3000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f>IF(N$182=0,0,$D163)</f>
        <v>3000</v>
      </c>
      <c r="O163" s="11">
        <v>0</v>
      </c>
      <c r="P163" s="11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54">
        <f>SUM(E161:E163)</f>
        <v>0</v>
      </c>
      <c r="F164" s="154">
        <f t="shared" ref="F164:P164" si="118">SUM(F161:F163)</f>
        <v>6500</v>
      </c>
      <c r="G164" s="154">
        <f t="shared" si="118"/>
        <v>0</v>
      </c>
      <c r="H164" s="154">
        <f t="shared" si="118"/>
        <v>3000</v>
      </c>
      <c r="I164" s="154">
        <f t="shared" si="118"/>
        <v>5000</v>
      </c>
      <c r="J164" s="154">
        <f t="shared" si="118"/>
        <v>8500</v>
      </c>
      <c r="K164" s="154">
        <f t="shared" si="118"/>
        <v>0</v>
      </c>
      <c r="L164" s="154">
        <f t="shared" si="118"/>
        <v>0</v>
      </c>
      <c r="M164" s="154">
        <f t="shared" si="118"/>
        <v>0</v>
      </c>
      <c r="N164" s="154">
        <f t="shared" si="118"/>
        <v>13500</v>
      </c>
      <c r="O164" s="154">
        <f t="shared" si="118"/>
        <v>5000</v>
      </c>
      <c r="P164" s="154">
        <f t="shared" si="118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54">
        <f>IF(E$182=0,0,$D165*E$182)</f>
        <v>450</v>
      </c>
      <c r="F165" s="154">
        <f t="shared" ref="F165:P166" si="119">IF(F$182=0,0,$D165*F$182)</f>
        <v>650</v>
      </c>
      <c r="G165" s="154">
        <f t="shared" si="119"/>
        <v>750</v>
      </c>
      <c r="H165" s="154">
        <f t="shared" si="119"/>
        <v>790</v>
      </c>
      <c r="I165" s="154">
        <f t="shared" si="119"/>
        <v>830</v>
      </c>
      <c r="J165" s="154">
        <f t="shared" si="119"/>
        <v>870</v>
      </c>
      <c r="K165" s="154">
        <f t="shared" si="119"/>
        <v>915</v>
      </c>
      <c r="L165" s="154">
        <f t="shared" si="119"/>
        <v>960</v>
      </c>
      <c r="M165" s="154">
        <f t="shared" si="119"/>
        <v>1010</v>
      </c>
      <c r="N165" s="154">
        <f t="shared" si="119"/>
        <v>1060</v>
      </c>
      <c r="O165" s="154">
        <f t="shared" si="119"/>
        <v>1115</v>
      </c>
      <c r="P165" s="154">
        <f t="shared" si="119"/>
        <v>1170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54">
        <f>IF(E$182=0,0,$D166*E$182)</f>
        <v>450</v>
      </c>
      <c r="F166" s="154">
        <f t="shared" si="119"/>
        <v>650</v>
      </c>
      <c r="G166" s="154">
        <f t="shared" si="119"/>
        <v>750</v>
      </c>
      <c r="H166" s="154">
        <f t="shared" si="119"/>
        <v>790</v>
      </c>
      <c r="I166" s="154">
        <f t="shared" si="119"/>
        <v>830</v>
      </c>
      <c r="J166" s="154">
        <f t="shared" si="119"/>
        <v>870</v>
      </c>
      <c r="K166" s="154">
        <f t="shared" si="119"/>
        <v>915</v>
      </c>
      <c r="L166" s="154">
        <f t="shared" si="119"/>
        <v>960</v>
      </c>
      <c r="M166" s="154">
        <f t="shared" si="119"/>
        <v>1010</v>
      </c>
      <c r="N166" s="154">
        <f t="shared" si="119"/>
        <v>1060</v>
      </c>
      <c r="O166" s="154">
        <f t="shared" si="119"/>
        <v>1115</v>
      </c>
      <c r="P166" s="154">
        <f t="shared" si="119"/>
        <v>1170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54">
        <f>IF(E$182=0,0,$D167*10)</f>
        <v>50</v>
      </c>
      <c r="F167" s="154">
        <f t="shared" ref="F167:P167" si="120">IF(F$182=0,0,$D167*10)</f>
        <v>50</v>
      </c>
      <c r="G167" s="154">
        <f t="shared" si="120"/>
        <v>50</v>
      </c>
      <c r="H167" s="154">
        <f t="shared" si="120"/>
        <v>50</v>
      </c>
      <c r="I167" s="154">
        <f t="shared" si="120"/>
        <v>50</v>
      </c>
      <c r="J167" s="154">
        <f t="shared" si="120"/>
        <v>50</v>
      </c>
      <c r="K167" s="154">
        <f t="shared" si="120"/>
        <v>50</v>
      </c>
      <c r="L167" s="154">
        <f t="shared" si="120"/>
        <v>50</v>
      </c>
      <c r="M167" s="154">
        <f t="shared" si="120"/>
        <v>50</v>
      </c>
      <c r="N167" s="154">
        <f t="shared" si="120"/>
        <v>50</v>
      </c>
      <c r="O167" s="154">
        <f t="shared" si="120"/>
        <v>50</v>
      </c>
      <c r="P167" s="154">
        <f t="shared" si="120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54">
        <f>IF(E$182=0,0,$D168)</f>
        <v>0</v>
      </c>
      <c r="F168" s="154">
        <f t="shared" ref="F168:P170" si="121">IF(F$182=0,0,$D168)</f>
        <v>0</v>
      </c>
      <c r="G168" s="154">
        <f t="shared" si="121"/>
        <v>0</v>
      </c>
      <c r="H168" s="154">
        <f t="shared" si="121"/>
        <v>0</v>
      </c>
      <c r="I168" s="154">
        <f t="shared" si="121"/>
        <v>0</v>
      </c>
      <c r="J168" s="154">
        <f t="shared" si="121"/>
        <v>0</v>
      </c>
      <c r="K168" s="154">
        <f t="shared" si="121"/>
        <v>0</v>
      </c>
      <c r="L168" s="154">
        <f t="shared" si="121"/>
        <v>0</v>
      </c>
      <c r="M168" s="154">
        <f t="shared" si="121"/>
        <v>0</v>
      </c>
      <c r="N168" s="154">
        <f t="shared" si="121"/>
        <v>0</v>
      </c>
      <c r="O168" s="154">
        <f t="shared" si="121"/>
        <v>0</v>
      </c>
      <c r="P168" s="154">
        <f t="shared" si="121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54">
        <f>IF(E$182=0,0,$D169)</f>
        <v>0</v>
      </c>
      <c r="F169" s="154">
        <f t="shared" si="121"/>
        <v>0</v>
      </c>
      <c r="G169" s="154">
        <f t="shared" si="121"/>
        <v>0</v>
      </c>
      <c r="H169" s="154">
        <f t="shared" si="121"/>
        <v>0</v>
      </c>
      <c r="I169" s="154">
        <f t="shared" si="121"/>
        <v>0</v>
      </c>
      <c r="J169" s="154">
        <f t="shared" si="121"/>
        <v>0</v>
      </c>
      <c r="K169" s="154">
        <f t="shared" si="121"/>
        <v>0</v>
      </c>
      <c r="L169" s="154">
        <f t="shared" si="121"/>
        <v>0</v>
      </c>
      <c r="M169" s="154">
        <f t="shared" si="121"/>
        <v>0</v>
      </c>
      <c r="N169" s="154">
        <f t="shared" si="121"/>
        <v>0</v>
      </c>
      <c r="O169" s="154">
        <f t="shared" si="121"/>
        <v>0</v>
      </c>
      <c r="P169" s="154">
        <f t="shared" si="121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54">
        <f>IF(E$182=0,0,$D170)</f>
        <v>0</v>
      </c>
      <c r="F170" s="154">
        <f t="shared" si="121"/>
        <v>0</v>
      </c>
      <c r="G170" s="154">
        <f t="shared" si="121"/>
        <v>0</v>
      </c>
      <c r="H170" s="154">
        <f t="shared" si="121"/>
        <v>0</v>
      </c>
      <c r="I170" s="154">
        <f t="shared" si="121"/>
        <v>0</v>
      </c>
      <c r="J170" s="154">
        <f t="shared" si="121"/>
        <v>0</v>
      </c>
      <c r="K170" s="154">
        <f t="shared" si="121"/>
        <v>0</v>
      </c>
      <c r="L170" s="154">
        <f t="shared" si="121"/>
        <v>0</v>
      </c>
      <c r="M170" s="154">
        <f t="shared" si="121"/>
        <v>0</v>
      </c>
      <c r="N170" s="154">
        <f t="shared" si="121"/>
        <v>0</v>
      </c>
      <c r="O170" s="154">
        <f t="shared" si="121"/>
        <v>0</v>
      </c>
      <c r="P170" s="154">
        <f t="shared" si="121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54">
        <f>IF(E$182=0,0,($D171*12))</f>
        <v>0</v>
      </c>
      <c r="F171" s="154">
        <f t="shared" ref="F171:P171" si="122">IF(F$182=0,0,($D171*12))</f>
        <v>0</v>
      </c>
      <c r="G171" s="154">
        <f t="shared" si="122"/>
        <v>0</v>
      </c>
      <c r="H171" s="154">
        <f t="shared" si="122"/>
        <v>0</v>
      </c>
      <c r="I171" s="154">
        <f t="shared" si="122"/>
        <v>0</v>
      </c>
      <c r="J171" s="154">
        <f t="shared" si="122"/>
        <v>0</v>
      </c>
      <c r="K171" s="154">
        <f t="shared" si="122"/>
        <v>0</v>
      </c>
      <c r="L171" s="154">
        <f t="shared" si="122"/>
        <v>0</v>
      </c>
      <c r="M171" s="154">
        <f t="shared" si="122"/>
        <v>0</v>
      </c>
      <c r="N171" s="154">
        <f t="shared" si="122"/>
        <v>0</v>
      </c>
      <c r="O171" s="154">
        <f t="shared" si="122"/>
        <v>0</v>
      </c>
      <c r="P171" s="154">
        <f t="shared" si="122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754</v>
      </c>
      <c r="D172" s="85">
        <v>1600</v>
      </c>
      <c r="E172" s="11">
        <f>IF(E$182=0,0,$D172)</f>
        <v>1600</v>
      </c>
      <c r="F172" s="11">
        <f t="shared" ref="F172:P172" si="123">IF(F$182=0,0,$D172)</f>
        <v>1600</v>
      </c>
      <c r="G172" s="11">
        <f t="shared" si="123"/>
        <v>1600</v>
      </c>
      <c r="H172" s="11">
        <f t="shared" si="123"/>
        <v>1600</v>
      </c>
      <c r="I172" s="11">
        <f t="shared" si="123"/>
        <v>1600</v>
      </c>
      <c r="J172" s="11">
        <f t="shared" si="123"/>
        <v>1600</v>
      </c>
      <c r="K172" s="11">
        <f t="shared" si="123"/>
        <v>1600</v>
      </c>
      <c r="L172" s="11">
        <f t="shared" si="123"/>
        <v>1600</v>
      </c>
      <c r="M172" s="11">
        <f t="shared" si="123"/>
        <v>1600</v>
      </c>
      <c r="N172" s="11">
        <f t="shared" si="123"/>
        <v>1600</v>
      </c>
      <c r="O172" s="11">
        <f t="shared" si="123"/>
        <v>1600</v>
      </c>
      <c r="P172" s="11">
        <f t="shared" si="123"/>
        <v>1600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54">
        <f t="shared" ref="E173:P173" si="124">SUM(E165:E172)</f>
        <v>2550</v>
      </c>
      <c r="F173" s="154">
        <f t="shared" si="124"/>
        <v>2950</v>
      </c>
      <c r="G173" s="154">
        <f t="shared" si="124"/>
        <v>3150</v>
      </c>
      <c r="H173" s="154">
        <f t="shared" si="124"/>
        <v>3230</v>
      </c>
      <c r="I173" s="154">
        <f t="shared" si="124"/>
        <v>3310</v>
      </c>
      <c r="J173" s="154">
        <f t="shared" si="124"/>
        <v>3390</v>
      </c>
      <c r="K173" s="154">
        <f t="shared" si="124"/>
        <v>3480</v>
      </c>
      <c r="L173" s="154">
        <f t="shared" si="124"/>
        <v>3570</v>
      </c>
      <c r="M173" s="154">
        <f t="shared" si="124"/>
        <v>3670</v>
      </c>
      <c r="N173" s="154">
        <f t="shared" si="124"/>
        <v>3770</v>
      </c>
      <c r="O173" s="154">
        <f t="shared" si="124"/>
        <v>3880</v>
      </c>
      <c r="P173" s="154">
        <f t="shared" si="124"/>
        <v>3990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54">
        <v>0</v>
      </c>
      <c r="F175" s="154">
        <v>0</v>
      </c>
      <c r="G175" s="154">
        <v>0</v>
      </c>
      <c r="H175" s="154">
        <v>0</v>
      </c>
      <c r="I175" s="154">
        <v>0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442161.02149999997</v>
      </c>
      <c r="F176" s="183">
        <f>F175+F174+F173+F164+F160+F148+F145+F141+F140+F139+F138+F134+F133+F126+F120+F119+F118+F114+F109+F108+F105+F104+F102+F101+F96+F92+F84+F83+F82+F81+F55</f>
        <v>632100.08131700009</v>
      </c>
      <c r="G176" s="183">
        <f t="shared" ref="G176:P176" si="125">G175+G174+G173+G164+G160+G148+G145+G141+G140+G139+G138+G134+G133+G126+G120+G119+G118+G114+G109+G108+G105+G104+G102+G101+G96+G92+G84+G83+G82+G81+G55</f>
        <v>699761.7124418125</v>
      </c>
      <c r="H176" s="183">
        <f t="shared" si="125"/>
        <v>737846.92556900519</v>
      </c>
      <c r="I176" s="183">
        <f t="shared" si="125"/>
        <v>776093.64195002709</v>
      </c>
      <c r="J176" s="183">
        <f t="shared" si="125"/>
        <v>816696.59291553451</v>
      </c>
      <c r="K176" s="183">
        <f t="shared" si="125"/>
        <v>849523.75866091927</v>
      </c>
      <c r="L176" s="183">
        <f t="shared" si="125"/>
        <v>939805.98826952674</v>
      </c>
      <c r="M176" s="183">
        <f t="shared" si="125"/>
        <v>986379.87084868224</v>
      </c>
      <c r="N176" s="183">
        <f t="shared" si="125"/>
        <v>1047513.8326484415</v>
      </c>
      <c r="O176" s="183">
        <f t="shared" si="125"/>
        <v>1090781.3270033074</v>
      </c>
      <c r="P176" s="183">
        <f t="shared" si="125"/>
        <v>1139214.7462832727</v>
      </c>
    </row>
    <row r="177" spans="1:16" s="2" customFormat="1" ht="15.75" thickBot="1" x14ac:dyDescent="0.3">
      <c r="A177" s="16" t="s">
        <v>217</v>
      </c>
      <c r="E177" s="205">
        <f>E39-E176</f>
        <v>1043.9785000000265</v>
      </c>
      <c r="F177" s="205">
        <f>F39-F176</f>
        <v>6743.5786829999415</v>
      </c>
      <c r="G177" s="205">
        <f t="shared" ref="G177:P177" si="126">G39-G176</f>
        <v>35753.121589437593</v>
      </c>
      <c r="H177" s="205">
        <f t="shared" si="126"/>
        <v>27549.567271235515</v>
      </c>
      <c r="I177" s="205">
        <f t="shared" si="126"/>
        <v>34088.234284568229</v>
      </c>
      <c r="J177" s="205">
        <f t="shared" si="126"/>
        <v>38899.393911608495</v>
      </c>
      <c r="K177" s="205">
        <f t="shared" si="126"/>
        <v>57076.075139583321</v>
      </c>
      <c r="L177" s="205">
        <f t="shared" si="126"/>
        <v>18514.622934676707</v>
      </c>
      <c r="M177" s="205">
        <f t="shared" si="126"/>
        <v>29415.020761856576</v>
      </c>
      <c r="N177" s="205">
        <f t="shared" si="126"/>
        <v>26563.548040147522</v>
      </c>
      <c r="O177" s="205">
        <f t="shared" si="126"/>
        <v>47500.042396489996</v>
      </c>
      <c r="P177" s="205">
        <f t="shared" si="126"/>
        <v>64173.254805737408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7">E3</f>
        <v>FY 2018-2019</v>
      </c>
      <c r="F179" s="3" t="str">
        <f t="shared" si="127"/>
        <v>FY 2019-2020</v>
      </c>
      <c r="G179" s="3" t="str">
        <f t="shared" si="127"/>
        <v>FY 2020-2021</v>
      </c>
      <c r="H179" s="3" t="str">
        <f t="shared" si="127"/>
        <v>FY 2021-2022</v>
      </c>
      <c r="I179" s="3" t="str">
        <f t="shared" si="127"/>
        <v>FY 2022-2023</v>
      </c>
      <c r="J179" s="3" t="str">
        <f t="shared" si="127"/>
        <v>FY 2023-2024</v>
      </c>
      <c r="K179" s="3" t="str">
        <f t="shared" si="127"/>
        <v>FY 2024-2025</v>
      </c>
      <c r="L179" s="3" t="str">
        <f t="shared" si="127"/>
        <v>FY 2025-2026</v>
      </c>
      <c r="M179" s="3" t="str">
        <f t="shared" si="127"/>
        <v>FY 2026-2027</v>
      </c>
      <c r="N179" s="3" t="str">
        <f t="shared" si="127"/>
        <v>FY 2027-2028</v>
      </c>
      <c r="O179" s="3" t="str">
        <f t="shared" si="127"/>
        <v>FY 2027-2028</v>
      </c>
      <c r="P179" s="3" t="str">
        <f t="shared" si="127"/>
        <v>FY 2028-2029</v>
      </c>
    </row>
    <row r="180" spans="1:16" s="2" customFormat="1" x14ac:dyDescent="0.25">
      <c r="C180" s="2">
        <v>11</v>
      </c>
      <c r="E180" s="133">
        <f>Assumptions!E44</f>
        <v>50</v>
      </c>
      <c r="F180" s="133">
        <f>Assumptions!F44</f>
        <v>70</v>
      </c>
      <c r="G180" s="133">
        <f>Assumptions!G44</f>
        <v>80</v>
      </c>
      <c r="H180" s="133">
        <f>Assumptions!H44</f>
        <v>90</v>
      </c>
      <c r="I180" s="133">
        <f>Assumptions!I44</f>
        <v>90</v>
      </c>
      <c r="J180" s="133">
        <f>Assumptions!J44</f>
        <v>100</v>
      </c>
      <c r="K180" s="133">
        <f>Assumptions!K44</f>
        <v>100</v>
      </c>
      <c r="L180" s="133">
        <f>Assumptions!L44</f>
        <v>110</v>
      </c>
      <c r="M180" s="133">
        <f>Assumptions!M44</f>
        <v>110</v>
      </c>
      <c r="N180" s="133">
        <f>Assumptions!N44</f>
        <v>120</v>
      </c>
      <c r="O180" s="133">
        <f>Assumptions!O44</f>
        <v>120</v>
      </c>
      <c r="P180" s="133">
        <f>Assumptions!P44</f>
        <v>130</v>
      </c>
    </row>
    <row r="181" spans="1:16" s="2" customFormat="1" x14ac:dyDescent="0.25">
      <c r="C181" s="2">
        <v>12</v>
      </c>
      <c r="E181" s="197">
        <f>Assumptions!E45</f>
        <v>40</v>
      </c>
      <c r="F181" s="197">
        <f>Assumptions!F45</f>
        <v>60</v>
      </c>
      <c r="G181" s="197">
        <f>Assumptions!G45</f>
        <v>70</v>
      </c>
      <c r="H181" s="197">
        <f>Assumptions!H45</f>
        <v>68</v>
      </c>
      <c r="I181" s="197">
        <f>Assumptions!I45</f>
        <v>76</v>
      </c>
      <c r="J181" s="197">
        <f>Assumptions!J45</f>
        <v>74</v>
      </c>
      <c r="K181" s="197">
        <f>Assumptions!K45</f>
        <v>83</v>
      </c>
      <c r="L181" s="197">
        <f>Assumptions!L45</f>
        <v>82</v>
      </c>
      <c r="M181" s="197">
        <f>Assumptions!M45</f>
        <v>92</v>
      </c>
      <c r="N181" s="197">
        <f>Assumptions!N45</f>
        <v>92</v>
      </c>
      <c r="O181" s="197">
        <f>Assumptions!O45</f>
        <v>103</v>
      </c>
      <c r="P181" s="197">
        <f>Assumptions!P45</f>
        <v>104</v>
      </c>
    </row>
    <row r="182" spans="1:16" s="2" customFormat="1" x14ac:dyDescent="0.25">
      <c r="E182" s="113">
        <f t="shared" ref="E182:P182" si="128">SUM(E180:E181)</f>
        <v>90</v>
      </c>
      <c r="F182" s="113">
        <f t="shared" si="128"/>
        <v>130</v>
      </c>
      <c r="G182" s="113">
        <f t="shared" si="128"/>
        <v>150</v>
      </c>
      <c r="H182" s="113">
        <f t="shared" si="128"/>
        <v>158</v>
      </c>
      <c r="I182" s="113">
        <f t="shared" si="128"/>
        <v>166</v>
      </c>
      <c r="J182" s="113">
        <f t="shared" si="128"/>
        <v>174</v>
      </c>
      <c r="K182" s="113">
        <f t="shared" si="128"/>
        <v>183</v>
      </c>
      <c r="L182" s="113">
        <f t="shared" si="128"/>
        <v>192</v>
      </c>
      <c r="M182" s="113">
        <f t="shared" si="128"/>
        <v>202</v>
      </c>
      <c r="N182" s="113">
        <f t="shared" si="128"/>
        <v>212</v>
      </c>
      <c r="O182" s="113">
        <f t="shared" si="128"/>
        <v>223</v>
      </c>
      <c r="P182" s="113">
        <f t="shared" si="128"/>
        <v>234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2</v>
      </c>
      <c r="F185" s="2">
        <f t="shared" ref="F185:P185" si="129">ROUND(F182*$D185,0)</f>
        <v>3</v>
      </c>
      <c r="G185" s="2">
        <f t="shared" si="129"/>
        <v>3</v>
      </c>
      <c r="H185" s="2">
        <f t="shared" si="129"/>
        <v>3</v>
      </c>
      <c r="I185" s="2">
        <f t="shared" si="129"/>
        <v>3</v>
      </c>
      <c r="J185" s="2">
        <f t="shared" si="129"/>
        <v>3</v>
      </c>
      <c r="K185" s="2">
        <f t="shared" si="129"/>
        <v>4</v>
      </c>
      <c r="L185" s="2">
        <f t="shared" si="129"/>
        <v>4</v>
      </c>
      <c r="M185" s="2">
        <f t="shared" si="129"/>
        <v>4</v>
      </c>
      <c r="N185" s="2">
        <f t="shared" si="129"/>
        <v>4</v>
      </c>
      <c r="O185" s="2">
        <f t="shared" si="129"/>
        <v>4</v>
      </c>
      <c r="P185" s="2">
        <f t="shared" si="129"/>
        <v>5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30">E3</f>
        <v>FY 2018-2019</v>
      </c>
      <c r="F187" s="3" t="str">
        <f t="shared" si="130"/>
        <v>FY 2019-2020</v>
      </c>
      <c r="G187" s="3" t="str">
        <f t="shared" si="130"/>
        <v>FY 2020-2021</v>
      </c>
      <c r="H187" s="3" t="str">
        <f t="shared" si="130"/>
        <v>FY 2021-2022</v>
      </c>
      <c r="I187" s="3" t="str">
        <f t="shared" si="130"/>
        <v>FY 2022-2023</v>
      </c>
      <c r="J187" s="3" t="str">
        <f t="shared" si="130"/>
        <v>FY 2023-2024</v>
      </c>
      <c r="K187" s="3" t="str">
        <f t="shared" si="130"/>
        <v>FY 2024-2025</v>
      </c>
      <c r="L187" s="3" t="str">
        <f t="shared" si="130"/>
        <v>FY 2025-2026</v>
      </c>
      <c r="M187" s="3" t="str">
        <f t="shared" si="130"/>
        <v>FY 2026-2027</v>
      </c>
      <c r="N187" s="3" t="str">
        <f t="shared" si="130"/>
        <v>FY 2027-2028</v>
      </c>
      <c r="O187" s="3" t="str">
        <f t="shared" si="130"/>
        <v>FY 2027-2028</v>
      </c>
      <c r="P187" s="3" t="str">
        <f t="shared" si="130"/>
        <v>FY 2028-2029</v>
      </c>
    </row>
    <row r="188" spans="1:16" s="2" customFormat="1" x14ac:dyDescent="0.25">
      <c r="A188" s="2" t="s">
        <v>401</v>
      </c>
      <c r="B188" s="7" t="s">
        <v>410</v>
      </c>
      <c r="C188" s="219"/>
      <c r="D188" s="217"/>
      <c r="E188" s="309">
        <v>0</v>
      </c>
      <c r="F188" s="309">
        <v>0</v>
      </c>
      <c r="G188" s="309">
        <v>0</v>
      </c>
      <c r="H188" s="309">
        <v>0</v>
      </c>
      <c r="I188" s="309">
        <v>0</v>
      </c>
      <c r="J188" s="309">
        <v>0</v>
      </c>
      <c r="K188" s="309">
        <v>0</v>
      </c>
      <c r="L188" s="309">
        <v>0.5</v>
      </c>
      <c r="M188" s="309">
        <v>0.5</v>
      </c>
      <c r="N188" s="2">
        <f t="shared" ref="M188:P196" si="131">M188</f>
        <v>0.5</v>
      </c>
      <c r="O188" s="2">
        <f t="shared" si="131"/>
        <v>0.5</v>
      </c>
      <c r="P188" s="2">
        <f t="shared" si="131"/>
        <v>0.5</v>
      </c>
    </row>
    <row r="189" spans="1:16" s="2" customFormat="1" x14ac:dyDescent="0.25">
      <c r="A189" s="2" t="s">
        <v>404</v>
      </c>
      <c r="B189" s="7" t="s">
        <v>411</v>
      </c>
      <c r="C189" s="219"/>
      <c r="D189" s="217"/>
      <c r="E189" s="309">
        <v>1</v>
      </c>
      <c r="F189" s="309">
        <v>1</v>
      </c>
      <c r="G189" s="309">
        <v>1</v>
      </c>
      <c r="H189" s="309">
        <v>1</v>
      </c>
      <c r="I189" s="309">
        <v>1</v>
      </c>
      <c r="J189" s="309">
        <v>1</v>
      </c>
      <c r="K189" s="309">
        <v>1</v>
      </c>
      <c r="L189" s="309">
        <v>1</v>
      </c>
      <c r="M189" s="309">
        <v>1</v>
      </c>
      <c r="N189" s="309">
        <v>1</v>
      </c>
      <c r="O189" s="309">
        <v>1</v>
      </c>
      <c r="P189" s="309"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309">
        <v>0</v>
      </c>
      <c r="F190" s="309">
        <v>1</v>
      </c>
      <c r="G190" s="309">
        <v>1</v>
      </c>
      <c r="H190" s="309">
        <v>1</v>
      </c>
      <c r="I190" s="309">
        <v>1</v>
      </c>
      <c r="J190" s="309">
        <v>1</v>
      </c>
      <c r="K190" s="113">
        <f t="shared" ref="K190:K196" si="132">J190</f>
        <v>1</v>
      </c>
      <c r="L190" s="113">
        <f t="shared" ref="L190:L196" si="133">K190</f>
        <v>1</v>
      </c>
      <c r="M190" s="113">
        <f t="shared" si="131"/>
        <v>1</v>
      </c>
      <c r="N190" s="113">
        <f t="shared" si="131"/>
        <v>1</v>
      </c>
      <c r="O190" s="113">
        <f t="shared" si="131"/>
        <v>1</v>
      </c>
      <c r="P190" s="113">
        <f t="shared" si="131"/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309">
        <v>1</v>
      </c>
      <c r="F191" s="309">
        <v>1</v>
      </c>
      <c r="G191" s="309">
        <v>0</v>
      </c>
      <c r="H191" s="309">
        <v>0</v>
      </c>
      <c r="I191" s="309">
        <v>0</v>
      </c>
      <c r="J191" s="2">
        <f>I191</f>
        <v>0</v>
      </c>
      <c r="K191" s="113">
        <f t="shared" si="132"/>
        <v>0</v>
      </c>
      <c r="L191" s="113">
        <f t="shared" si="133"/>
        <v>0</v>
      </c>
      <c r="M191" s="113">
        <f t="shared" si="131"/>
        <v>0</v>
      </c>
      <c r="N191" s="113">
        <f t="shared" si="131"/>
        <v>0</v>
      </c>
      <c r="O191" s="113">
        <f t="shared" si="131"/>
        <v>0</v>
      </c>
      <c r="P191" s="113">
        <f t="shared" si="131"/>
        <v>0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309">
        <v>0</v>
      </c>
      <c r="F192" s="309">
        <v>1</v>
      </c>
      <c r="G192" s="309">
        <v>2</v>
      </c>
      <c r="H192" s="309">
        <v>2</v>
      </c>
      <c r="I192" s="309">
        <v>2</v>
      </c>
      <c r="J192" s="113">
        <f>I192</f>
        <v>2</v>
      </c>
      <c r="K192" s="113">
        <f t="shared" si="132"/>
        <v>2</v>
      </c>
      <c r="L192" s="113">
        <f t="shared" si="133"/>
        <v>2</v>
      </c>
      <c r="M192" s="113">
        <f t="shared" si="131"/>
        <v>2</v>
      </c>
      <c r="N192" s="113">
        <f t="shared" si="131"/>
        <v>2</v>
      </c>
      <c r="O192" s="113">
        <f t="shared" si="131"/>
        <v>2</v>
      </c>
      <c r="P192" s="113">
        <f t="shared" si="131"/>
        <v>2</v>
      </c>
    </row>
    <row r="193" spans="1:16" s="2" customFormat="1" x14ac:dyDescent="0.25">
      <c r="A193" s="2">
        <v>6127</v>
      </c>
      <c r="B193" s="13" t="s">
        <v>533</v>
      </c>
      <c r="C193" s="221"/>
      <c r="D193" s="216"/>
      <c r="E193" s="309">
        <v>0</v>
      </c>
      <c r="F193" s="309">
        <v>0</v>
      </c>
      <c r="G193" s="309">
        <v>0</v>
      </c>
      <c r="H193" s="309">
        <v>0</v>
      </c>
      <c r="I193" s="309">
        <v>0</v>
      </c>
      <c r="J193" s="113">
        <f>I193</f>
        <v>0</v>
      </c>
      <c r="K193" s="113">
        <f t="shared" si="132"/>
        <v>0</v>
      </c>
      <c r="L193" s="113">
        <f t="shared" si="133"/>
        <v>0</v>
      </c>
      <c r="M193" s="113">
        <f t="shared" si="131"/>
        <v>0</v>
      </c>
      <c r="N193" s="113">
        <f t="shared" si="131"/>
        <v>0</v>
      </c>
      <c r="O193" s="113">
        <f t="shared" si="131"/>
        <v>0</v>
      </c>
      <c r="P193" s="113">
        <f t="shared" si="131"/>
        <v>0</v>
      </c>
    </row>
    <row r="194" spans="1:16" s="2" customFormat="1" x14ac:dyDescent="0.25">
      <c r="A194" s="2">
        <v>6127</v>
      </c>
      <c r="B194" s="13" t="s">
        <v>534</v>
      </c>
      <c r="C194" s="221"/>
      <c r="D194" s="216"/>
      <c r="E194" s="309">
        <v>0</v>
      </c>
      <c r="F194" s="309">
        <v>0</v>
      </c>
      <c r="G194" s="309">
        <v>0</v>
      </c>
      <c r="H194" s="309">
        <v>0</v>
      </c>
      <c r="I194" s="309">
        <v>0</v>
      </c>
      <c r="J194" s="113">
        <f>I194</f>
        <v>0</v>
      </c>
      <c r="K194" s="113">
        <f t="shared" si="132"/>
        <v>0</v>
      </c>
      <c r="L194" s="113">
        <f t="shared" si="133"/>
        <v>0</v>
      </c>
      <c r="M194" s="113">
        <f t="shared" si="131"/>
        <v>0</v>
      </c>
      <c r="N194" s="113">
        <f t="shared" si="131"/>
        <v>0</v>
      </c>
      <c r="O194" s="113">
        <f t="shared" si="131"/>
        <v>0</v>
      </c>
      <c r="P194" s="113">
        <f t="shared" si="131"/>
        <v>0</v>
      </c>
    </row>
    <row r="195" spans="1:16" s="2" customFormat="1" x14ac:dyDescent="0.25">
      <c r="A195" s="2">
        <v>6127</v>
      </c>
      <c r="B195" s="7" t="s">
        <v>540</v>
      </c>
      <c r="C195" s="219"/>
      <c r="D195" s="216"/>
      <c r="E195" s="310">
        <v>0</v>
      </c>
      <c r="F195" s="310">
        <v>0</v>
      </c>
      <c r="G195" s="310">
        <v>0</v>
      </c>
      <c r="H195" s="310">
        <v>0</v>
      </c>
      <c r="I195" s="310">
        <v>0</v>
      </c>
      <c r="J195" s="310">
        <v>0</v>
      </c>
      <c r="K195" s="113">
        <f t="shared" si="132"/>
        <v>0</v>
      </c>
      <c r="L195" s="113">
        <f t="shared" si="133"/>
        <v>0</v>
      </c>
      <c r="M195" s="113">
        <f t="shared" si="131"/>
        <v>0</v>
      </c>
      <c r="N195" s="113">
        <f t="shared" si="131"/>
        <v>0</v>
      </c>
      <c r="O195" s="113">
        <f t="shared" si="131"/>
        <v>0</v>
      </c>
      <c r="P195" s="113">
        <f t="shared" si="131"/>
        <v>0</v>
      </c>
    </row>
    <row r="196" spans="1:16" s="2" customFormat="1" x14ac:dyDescent="0.25">
      <c r="B196" s="7" t="s">
        <v>400</v>
      </c>
      <c r="C196" s="219"/>
      <c r="D196" s="216"/>
      <c r="E196" s="311">
        <v>0</v>
      </c>
      <c r="F196" s="311">
        <v>0</v>
      </c>
      <c r="G196" s="311">
        <v>0</v>
      </c>
      <c r="H196" s="311">
        <v>0</v>
      </c>
      <c r="I196" s="311">
        <v>0</v>
      </c>
      <c r="J196" s="182">
        <f>I196</f>
        <v>0</v>
      </c>
      <c r="K196" s="182">
        <f t="shared" si="132"/>
        <v>0</v>
      </c>
      <c r="L196" s="182">
        <f t="shared" si="133"/>
        <v>0</v>
      </c>
      <c r="M196" s="182">
        <f t="shared" si="131"/>
        <v>0</v>
      </c>
      <c r="N196" s="182">
        <f t="shared" si="131"/>
        <v>0</v>
      </c>
      <c r="O196" s="182">
        <f t="shared" si="131"/>
        <v>0</v>
      </c>
      <c r="P196" s="182">
        <f t="shared" si="131"/>
        <v>0</v>
      </c>
    </row>
    <row r="197" spans="1:16" s="23" customFormat="1" x14ac:dyDescent="0.25">
      <c r="C197" s="78"/>
      <c r="D197" s="78"/>
      <c r="E197" s="23">
        <f>SUM(E188:E195)</f>
        <v>2</v>
      </c>
      <c r="F197" s="23">
        <f t="shared" ref="F197:P197" si="134">SUM(F188:F195)</f>
        <v>4</v>
      </c>
      <c r="G197" s="23">
        <f t="shared" si="134"/>
        <v>4</v>
      </c>
      <c r="H197" s="23">
        <f t="shared" si="134"/>
        <v>4</v>
      </c>
      <c r="I197" s="23">
        <f t="shared" si="134"/>
        <v>4</v>
      </c>
      <c r="J197" s="23">
        <f t="shared" si="134"/>
        <v>4</v>
      </c>
      <c r="K197" s="23">
        <f t="shared" si="134"/>
        <v>4</v>
      </c>
      <c r="L197" s="23">
        <f t="shared" si="134"/>
        <v>4.5</v>
      </c>
      <c r="M197" s="23">
        <f t="shared" si="134"/>
        <v>4.5</v>
      </c>
      <c r="N197" s="23">
        <f t="shared" si="134"/>
        <v>4.5</v>
      </c>
      <c r="O197" s="23">
        <f t="shared" si="134"/>
        <v>4.5</v>
      </c>
      <c r="P197" s="23">
        <f t="shared" si="134"/>
        <v>4.5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0</v>
      </c>
      <c r="F199" s="191">
        <f t="shared" ref="F199:P199" si="135">SUMIFS(F$188:F$195,$A$188:$A$195,$A188)</f>
        <v>0</v>
      </c>
      <c r="G199" s="191">
        <f t="shared" si="135"/>
        <v>0</v>
      </c>
      <c r="H199" s="191">
        <f t="shared" si="135"/>
        <v>0</v>
      </c>
      <c r="I199" s="191">
        <f t="shared" si="135"/>
        <v>0</v>
      </c>
      <c r="J199" s="191">
        <f t="shared" si="135"/>
        <v>0</v>
      </c>
      <c r="K199" s="191">
        <f t="shared" si="135"/>
        <v>0</v>
      </c>
      <c r="L199" s="191">
        <f t="shared" si="135"/>
        <v>0.5</v>
      </c>
      <c r="M199" s="191">
        <f t="shared" si="135"/>
        <v>0.5</v>
      </c>
      <c r="N199" s="191">
        <f t="shared" si="135"/>
        <v>0.5</v>
      </c>
      <c r="O199" s="191">
        <f t="shared" si="135"/>
        <v>0.5</v>
      </c>
      <c r="P199" s="191">
        <f t="shared" si="135"/>
        <v>0.5</v>
      </c>
    </row>
    <row r="200" spans="1:16" s="23" customFormat="1" x14ac:dyDescent="0.25">
      <c r="A200" s="7" t="s">
        <v>9</v>
      </c>
      <c r="B200" s="25"/>
      <c r="E200" s="23">
        <f>SUM(E199:E199)</f>
        <v>0</v>
      </c>
      <c r="F200" s="23">
        <f t="shared" ref="F200:P200" si="136">SUM(F199:F199)</f>
        <v>0</v>
      </c>
      <c r="G200" s="23">
        <f t="shared" si="136"/>
        <v>0</v>
      </c>
      <c r="H200" s="23">
        <f t="shared" si="136"/>
        <v>0</v>
      </c>
      <c r="I200" s="23">
        <f t="shared" si="136"/>
        <v>0</v>
      </c>
      <c r="J200" s="23">
        <f t="shared" si="136"/>
        <v>0</v>
      </c>
      <c r="K200" s="23">
        <f t="shared" si="136"/>
        <v>0</v>
      </c>
      <c r="L200" s="23">
        <f t="shared" si="136"/>
        <v>0.5</v>
      </c>
      <c r="M200" s="23">
        <f t="shared" si="136"/>
        <v>0.5</v>
      </c>
      <c r="N200" s="23">
        <f t="shared" si="136"/>
        <v>0.5</v>
      </c>
      <c r="O200" s="23">
        <f t="shared" si="136"/>
        <v>0.5</v>
      </c>
      <c r="P200" s="23">
        <f t="shared" si="136"/>
        <v>0.5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1</v>
      </c>
      <c r="F202" s="17">
        <f t="shared" ref="F202:P202" si="137">SUMIFS(F188:F196,$A188:$A196,$A191)</f>
        <v>2</v>
      </c>
      <c r="G202" s="17">
        <f t="shared" si="137"/>
        <v>2</v>
      </c>
      <c r="H202" s="17">
        <f t="shared" si="137"/>
        <v>2</v>
      </c>
      <c r="I202" s="17">
        <f t="shared" si="137"/>
        <v>2</v>
      </c>
      <c r="J202" s="17">
        <f t="shared" si="137"/>
        <v>2</v>
      </c>
      <c r="K202" s="17">
        <f t="shared" si="137"/>
        <v>2</v>
      </c>
      <c r="L202" s="17">
        <f t="shared" si="137"/>
        <v>2</v>
      </c>
      <c r="M202" s="17">
        <f t="shared" si="137"/>
        <v>2</v>
      </c>
      <c r="N202" s="17">
        <f t="shared" si="137"/>
        <v>2</v>
      </c>
      <c r="O202" s="17">
        <f t="shared" si="137"/>
        <v>2</v>
      </c>
      <c r="P202" s="17">
        <f t="shared" si="137"/>
        <v>2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1</v>
      </c>
      <c r="F203" s="17">
        <f t="shared" ref="F203:P203" si="138">SUMIFS(F189:F197,$A189:$A197,$A189)</f>
        <v>1</v>
      </c>
      <c r="G203" s="17">
        <f t="shared" si="138"/>
        <v>1</v>
      </c>
      <c r="H203" s="17">
        <f t="shared" si="138"/>
        <v>1</v>
      </c>
      <c r="I203" s="17">
        <f t="shared" si="138"/>
        <v>1</v>
      </c>
      <c r="J203" s="17">
        <f t="shared" si="138"/>
        <v>1</v>
      </c>
      <c r="K203" s="17">
        <f t="shared" si="138"/>
        <v>1</v>
      </c>
      <c r="L203" s="17">
        <f t="shared" si="138"/>
        <v>1</v>
      </c>
      <c r="M203" s="17">
        <f t="shared" si="138"/>
        <v>1</v>
      </c>
      <c r="N203" s="17">
        <f t="shared" si="138"/>
        <v>1</v>
      </c>
      <c r="O203" s="17">
        <f t="shared" si="138"/>
        <v>1</v>
      </c>
      <c r="P203" s="17">
        <f t="shared" si="138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0</v>
      </c>
      <c r="F204" s="119">
        <f t="shared" ref="F204:P204" si="139">F197-F200-F202-F203</f>
        <v>1</v>
      </c>
      <c r="G204" s="119">
        <f t="shared" si="139"/>
        <v>1</v>
      </c>
      <c r="H204" s="119">
        <f t="shared" si="139"/>
        <v>1</v>
      </c>
      <c r="I204" s="119">
        <f t="shared" si="139"/>
        <v>1</v>
      </c>
      <c r="J204" s="119">
        <f t="shared" si="139"/>
        <v>1</v>
      </c>
      <c r="K204" s="119">
        <f t="shared" si="139"/>
        <v>1</v>
      </c>
      <c r="L204" s="119">
        <f t="shared" si="139"/>
        <v>1</v>
      </c>
      <c r="M204" s="119">
        <f t="shared" si="139"/>
        <v>1</v>
      </c>
      <c r="N204" s="119">
        <f t="shared" si="139"/>
        <v>1</v>
      </c>
      <c r="O204" s="119">
        <f t="shared" si="139"/>
        <v>1</v>
      </c>
      <c r="P204" s="119">
        <f t="shared" si="139"/>
        <v>1</v>
      </c>
    </row>
    <row r="205" spans="1:16" s="2" customFormat="1" x14ac:dyDescent="0.25">
      <c r="A205" s="8" t="s">
        <v>11</v>
      </c>
      <c r="E205" s="17">
        <f>SUM(E200:E204)</f>
        <v>2</v>
      </c>
      <c r="F205" s="17">
        <f t="shared" ref="F205:P205" si="140">SUM(F200:F204)</f>
        <v>4</v>
      </c>
      <c r="G205" s="17">
        <f t="shared" si="140"/>
        <v>4</v>
      </c>
      <c r="H205" s="17">
        <f t="shared" si="140"/>
        <v>4</v>
      </c>
      <c r="I205" s="17">
        <f t="shared" si="140"/>
        <v>4</v>
      </c>
      <c r="J205" s="17">
        <f t="shared" si="140"/>
        <v>4</v>
      </c>
      <c r="K205" s="17">
        <f t="shared" si="140"/>
        <v>4</v>
      </c>
      <c r="L205" s="17">
        <f t="shared" si="140"/>
        <v>4.5</v>
      </c>
      <c r="M205" s="17">
        <f t="shared" si="140"/>
        <v>4.5</v>
      </c>
      <c r="N205" s="17">
        <f t="shared" si="140"/>
        <v>4.5</v>
      </c>
      <c r="O205" s="17">
        <f t="shared" si="140"/>
        <v>4.5</v>
      </c>
      <c r="P205" s="17">
        <f t="shared" si="140"/>
        <v>4.5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22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7" si="141">A188</f>
        <v>6111EE</v>
      </c>
      <c r="B209" s="2" t="str">
        <f t="shared" si="141"/>
        <v>Educational Advising Coordinator (PERS = EE)</v>
      </c>
      <c r="C209" s="123"/>
      <c r="D209" s="85">
        <v>55000</v>
      </c>
      <c r="E209" s="10">
        <f t="shared" ref="E209:E217" si="142">E188*$D209*(1+E$5)</f>
        <v>0</v>
      </c>
      <c r="F209" s="10">
        <f t="shared" ref="F209:P209" si="143">F188*$D209*(1+F$5)</f>
        <v>0</v>
      </c>
      <c r="G209" s="10">
        <f t="shared" si="143"/>
        <v>0</v>
      </c>
      <c r="H209" s="10">
        <f t="shared" si="143"/>
        <v>0</v>
      </c>
      <c r="I209" s="10">
        <f t="shared" si="143"/>
        <v>0</v>
      </c>
      <c r="J209" s="10">
        <f t="shared" si="143"/>
        <v>0</v>
      </c>
      <c r="K209" s="10">
        <f t="shared" si="143"/>
        <v>0</v>
      </c>
      <c r="L209" s="10">
        <f t="shared" si="143"/>
        <v>31350.000000000004</v>
      </c>
      <c r="M209" s="10">
        <f t="shared" si="143"/>
        <v>31899.999999999996</v>
      </c>
      <c r="N209" s="10">
        <f t="shared" si="143"/>
        <v>32450</v>
      </c>
      <c r="O209" s="10">
        <f t="shared" si="143"/>
        <v>33000</v>
      </c>
      <c r="P209" s="10">
        <f t="shared" si="143"/>
        <v>33550</v>
      </c>
    </row>
    <row r="210" spans="1:17" s="2" customFormat="1" x14ac:dyDescent="0.25">
      <c r="A210" s="2" t="str">
        <f>A189</f>
        <v>6114ER</v>
      </c>
      <c r="B210" s="2" t="str">
        <f t="shared" si="141"/>
        <v>Director of Site Administration (PERS = ER)</v>
      </c>
      <c r="C210" s="123"/>
      <c r="D210" s="85">
        <v>85000</v>
      </c>
      <c r="E210" s="10">
        <f t="shared" si="142"/>
        <v>85000</v>
      </c>
      <c r="F210" s="10">
        <f t="shared" ref="F210:P210" si="144">F189*$D210*(1+F$5)</f>
        <v>86700</v>
      </c>
      <c r="G210" s="10">
        <f t="shared" si="144"/>
        <v>88400</v>
      </c>
      <c r="H210" s="10">
        <f t="shared" si="144"/>
        <v>90100</v>
      </c>
      <c r="I210" s="10">
        <f t="shared" si="144"/>
        <v>91800</v>
      </c>
      <c r="J210" s="10">
        <f t="shared" si="144"/>
        <v>93500.000000000015</v>
      </c>
      <c r="K210" s="10">
        <f t="shared" si="144"/>
        <v>95200.000000000015</v>
      </c>
      <c r="L210" s="10">
        <f t="shared" si="144"/>
        <v>96900.000000000015</v>
      </c>
      <c r="M210" s="10">
        <f t="shared" si="144"/>
        <v>98600</v>
      </c>
      <c r="N210" s="10">
        <f t="shared" si="144"/>
        <v>100300</v>
      </c>
      <c r="O210" s="10">
        <f t="shared" si="144"/>
        <v>102000</v>
      </c>
      <c r="P210" s="10">
        <f t="shared" si="144"/>
        <v>103700</v>
      </c>
    </row>
    <row r="211" spans="1:17" s="2" customFormat="1" x14ac:dyDescent="0.25">
      <c r="A211" s="2" t="str">
        <f t="shared" si="141"/>
        <v>6117EE</v>
      </c>
      <c r="B211" s="2" t="str">
        <f>B190</f>
        <v>Office Manager (PERS = EE)</v>
      </c>
      <c r="C211" s="123"/>
      <c r="D211" s="85">
        <v>40000</v>
      </c>
      <c r="E211" s="10">
        <f t="shared" si="142"/>
        <v>0</v>
      </c>
      <c r="F211" s="10">
        <f t="shared" ref="F211:P211" si="145">F190*$D211*(1+F$5)</f>
        <v>40800</v>
      </c>
      <c r="G211" s="10">
        <f t="shared" si="145"/>
        <v>41600</v>
      </c>
      <c r="H211" s="10">
        <f t="shared" si="145"/>
        <v>42400</v>
      </c>
      <c r="I211" s="10">
        <f t="shared" si="145"/>
        <v>43200</v>
      </c>
      <c r="J211" s="10">
        <f t="shared" si="145"/>
        <v>44000</v>
      </c>
      <c r="K211" s="10">
        <f t="shared" si="145"/>
        <v>44800.000000000007</v>
      </c>
      <c r="L211" s="10">
        <f t="shared" si="145"/>
        <v>45600.000000000007</v>
      </c>
      <c r="M211" s="10">
        <f t="shared" si="145"/>
        <v>46400</v>
      </c>
      <c r="N211" s="10">
        <f t="shared" si="145"/>
        <v>47200</v>
      </c>
      <c r="O211" s="10">
        <f t="shared" si="145"/>
        <v>48000</v>
      </c>
      <c r="P211" s="10">
        <f t="shared" si="145"/>
        <v>48800</v>
      </c>
    </row>
    <row r="212" spans="1:17" s="2" customFormat="1" x14ac:dyDescent="0.25">
      <c r="A212" s="2">
        <f t="shared" si="141"/>
        <v>6127</v>
      </c>
      <c r="B212" s="2" t="str">
        <f t="shared" si="141"/>
        <v>Student Worker #1</v>
      </c>
      <c r="C212" s="164" t="s">
        <v>749</v>
      </c>
      <c r="D212" s="85">
        <v>4500</v>
      </c>
      <c r="E212" s="10">
        <f t="shared" si="142"/>
        <v>4500</v>
      </c>
      <c r="F212" s="10">
        <f t="shared" ref="F212:P212" si="146">F191*$D212*(1+F$5)</f>
        <v>4590</v>
      </c>
      <c r="G212" s="10">
        <f t="shared" si="146"/>
        <v>0</v>
      </c>
      <c r="H212" s="10">
        <f t="shared" si="146"/>
        <v>0</v>
      </c>
      <c r="I212" s="10">
        <f t="shared" si="146"/>
        <v>0</v>
      </c>
      <c r="J212" s="10">
        <f t="shared" si="146"/>
        <v>0</v>
      </c>
      <c r="K212" s="10">
        <f t="shared" si="146"/>
        <v>0</v>
      </c>
      <c r="L212" s="10">
        <f t="shared" si="146"/>
        <v>0</v>
      </c>
      <c r="M212" s="10">
        <f t="shared" si="146"/>
        <v>0</v>
      </c>
      <c r="N212" s="10">
        <f t="shared" si="146"/>
        <v>0</v>
      </c>
      <c r="O212" s="10">
        <f t="shared" si="146"/>
        <v>0</v>
      </c>
      <c r="P212" s="10">
        <f t="shared" si="146"/>
        <v>0</v>
      </c>
    </row>
    <row r="213" spans="1:17" s="2" customFormat="1" x14ac:dyDescent="0.25">
      <c r="A213" s="2">
        <f t="shared" si="141"/>
        <v>6127</v>
      </c>
      <c r="B213" s="2" t="str">
        <f t="shared" si="141"/>
        <v>Student Worker #2</v>
      </c>
      <c r="C213" s="164" t="s">
        <v>559</v>
      </c>
      <c r="D213" s="85">
        <v>12000</v>
      </c>
      <c r="E213" s="10">
        <f t="shared" si="142"/>
        <v>0</v>
      </c>
      <c r="F213" s="10">
        <f t="shared" ref="F213:P213" si="147">F192*$D213*(1+F$5)</f>
        <v>12240</v>
      </c>
      <c r="G213" s="10">
        <f t="shared" si="147"/>
        <v>24960</v>
      </c>
      <c r="H213" s="10">
        <f t="shared" si="147"/>
        <v>25440</v>
      </c>
      <c r="I213" s="10">
        <f t="shared" si="147"/>
        <v>25920</v>
      </c>
      <c r="J213" s="10">
        <f t="shared" si="147"/>
        <v>26400.000000000004</v>
      </c>
      <c r="K213" s="10">
        <f t="shared" si="147"/>
        <v>26880.000000000004</v>
      </c>
      <c r="L213" s="10">
        <f t="shared" si="147"/>
        <v>27360.000000000004</v>
      </c>
      <c r="M213" s="10">
        <f t="shared" si="147"/>
        <v>27839.999999999996</v>
      </c>
      <c r="N213" s="10">
        <f t="shared" si="147"/>
        <v>28320</v>
      </c>
      <c r="O213" s="10">
        <f t="shared" si="147"/>
        <v>28800</v>
      </c>
      <c r="P213" s="10">
        <f t="shared" si="147"/>
        <v>29280</v>
      </c>
    </row>
    <row r="214" spans="1:17" x14ac:dyDescent="0.25">
      <c r="A214">
        <f t="shared" si="141"/>
        <v>6127</v>
      </c>
      <c r="B214" t="str">
        <f t="shared" si="141"/>
        <v>Student Worker #3</v>
      </c>
      <c r="C214" s="123"/>
      <c r="D214" s="85">
        <v>0</v>
      </c>
      <c r="E214" s="48">
        <f t="shared" si="142"/>
        <v>0</v>
      </c>
      <c r="F214" s="48">
        <f t="shared" ref="F214:P214" si="148">F193*$D214*(1+F$5)</f>
        <v>0</v>
      </c>
      <c r="G214" s="48">
        <f t="shared" si="148"/>
        <v>0</v>
      </c>
      <c r="H214" s="48">
        <f t="shared" si="148"/>
        <v>0</v>
      </c>
      <c r="I214" s="48">
        <f t="shared" si="148"/>
        <v>0</v>
      </c>
      <c r="J214" s="48">
        <f t="shared" si="148"/>
        <v>0</v>
      </c>
      <c r="K214" s="48">
        <f t="shared" si="148"/>
        <v>0</v>
      </c>
      <c r="L214" s="48">
        <f t="shared" si="148"/>
        <v>0</v>
      </c>
      <c r="M214" s="48">
        <f t="shared" si="148"/>
        <v>0</v>
      </c>
      <c r="N214" s="48">
        <f t="shared" si="148"/>
        <v>0</v>
      </c>
      <c r="O214" s="48">
        <f t="shared" si="148"/>
        <v>0</v>
      </c>
      <c r="P214" s="48">
        <f t="shared" si="148"/>
        <v>0</v>
      </c>
    </row>
    <row r="215" spans="1:17" x14ac:dyDescent="0.25">
      <c r="A215">
        <f t="shared" si="141"/>
        <v>6127</v>
      </c>
      <c r="B215" t="str">
        <f t="shared" si="141"/>
        <v>Student Worker #4</v>
      </c>
      <c r="C215" s="123"/>
      <c r="D215" s="85">
        <v>0</v>
      </c>
      <c r="E215" s="75">
        <f t="shared" si="142"/>
        <v>0</v>
      </c>
      <c r="F215" s="75">
        <f t="shared" ref="F215:P215" si="149">F194*$D215*(1+F$5)</f>
        <v>0</v>
      </c>
      <c r="G215" s="75">
        <f t="shared" si="149"/>
        <v>0</v>
      </c>
      <c r="H215" s="75">
        <f t="shared" si="149"/>
        <v>0</v>
      </c>
      <c r="I215" s="75">
        <f t="shared" si="149"/>
        <v>0</v>
      </c>
      <c r="J215" s="75">
        <f t="shared" si="149"/>
        <v>0</v>
      </c>
      <c r="K215" s="75">
        <f t="shared" si="149"/>
        <v>0</v>
      </c>
      <c r="L215" s="75">
        <f t="shared" si="149"/>
        <v>0</v>
      </c>
      <c r="M215" s="75">
        <f t="shared" si="149"/>
        <v>0</v>
      </c>
      <c r="N215" s="75">
        <f t="shared" si="149"/>
        <v>0</v>
      </c>
      <c r="O215" s="75">
        <f t="shared" si="149"/>
        <v>0</v>
      </c>
      <c r="P215" s="75">
        <f t="shared" si="149"/>
        <v>0</v>
      </c>
    </row>
    <row r="216" spans="1:17" x14ac:dyDescent="0.25">
      <c r="A216">
        <f t="shared" si="141"/>
        <v>6127</v>
      </c>
      <c r="B216" t="str">
        <f t="shared" si="141"/>
        <v>Part-time Worker #1</v>
      </c>
      <c r="C216" s="123"/>
      <c r="D216" s="85">
        <v>0</v>
      </c>
      <c r="E216" s="75">
        <f t="shared" si="142"/>
        <v>0</v>
      </c>
      <c r="F216" s="75">
        <f t="shared" ref="F216:P216" si="150">F195*$D216*(1+F$5)</f>
        <v>0</v>
      </c>
      <c r="G216" s="75">
        <f t="shared" si="150"/>
        <v>0</v>
      </c>
      <c r="H216" s="75">
        <f t="shared" si="150"/>
        <v>0</v>
      </c>
      <c r="I216" s="75">
        <f t="shared" si="150"/>
        <v>0</v>
      </c>
      <c r="J216" s="75">
        <f t="shared" si="150"/>
        <v>0</v>
      </c>
      <c r="K216" s="75">
        <f t="shared" si="150"/>
        <v>0</v>
      </c>
      <c r="L216" s="75">
        <f t="shared" si="150"/>
        <v>0</v>
      </c>
      <c r="M216" s="75">
        <f t="shared" si="150"/>
        <v>0</v>
      </c>
      <c r="N216" s="75">
        <f t="shared" si="150"/>
        <v>0</v>
      </c>
      <c r="O216" s="75">
        <f t="shared" si="150"/>
        <v>0</v>
      </c>
      <c r="P216" s="75">
        <f t="shared" si="150"/>
        <v>0</v>
      </c>
    </row>
    <row r="217" spans="1:17" x14ac:dyDescent="0.25">
      <c r="A217">
        <f t="shared" si="141"/>
        <v>0</v>
      </c>
      <c r="B217" s="7" t="s">
        <v>397</v>
      </c>
      <c r="C217" s="76"/>
      <c r="D217" s="85">
        <v>0</v>
      </c>
      <c r="E217" s="49">
        <f t="shared" si="142"/>
        <v>0</v>
      </c>
      <c r="F217" s="49">
        <f t="shared" ref="F217:P217" si="151">F196*$D217*(1+F$5)</f>
        <v>0</v>
      </c>
      <c r="G217" s="49">
        <f t="shared" si="151"/>
        <v>0</v>
      </c>
      <c r="H217" s="49">
        <f t="shared" si="151"/>
        <v>0</v>
      </c>
      <c r="I217" s="49">
        <f t="shared" si="151"/>
        <v>0</v>
      </c>
      <c r="J217" s="49">
        <f t="shared" si="151"/>
        <v>0</v>
      </c>
      <c r="K217" s="49">
        <f t="shared" si="151"/>
        <v>0</v>
      </c>
      <c r="L217" s="49">
        <f t="shared" si="151"/>
        <v>0</v>
      </c>
      <c r="M217" s="49">
        <f t="shared" si="151"/>
        <v>0</v>
      </c>
      <c r="N217" s="49">
        <f t="shared" si="151"/>
        <v>0</v>
      </c>
      <c r="O217" s="49">
        <f t="shared" si="151"/>
        <v>0</v>
      </c>
      <c r="P217" s="49">
        <f t="shared" si="151"/>
        <v>0</v>
      </c>
    </row>
    <row r="218" spans="1:17" x14ac:dyDescent="0.25">
      <c r="C218" s="31"/>
      <c r="E218" s="48">
        <f t="shared" ref="E218:P218" si="152">SUM(E209:E217)</f>
        <v>89500</v>
      </c>
      <c r="F218" s="48">
        <f t="shared" si="152"/>
        <v>144330</v>
      </c>
      <c r="G218" s="48">
        <f t="shared" si="152"/>
        <v>154960</v>
      </c>
      <c r="H218" s="48">
        <f t="shared" si="152"/>
        <v>157940</v>
      </c>
      <c r="I218" s="48">
        <f t="shared" si="152"/>
        <v>160920</v>
      </c>
      <c r="J218" s="48">
        <f t="shared" si="152"/>
        <v>163900</v>
      </c>
      <c r="K218" s="48">
        <f t="shared" si="152"/>
        <v>166880.00000000003</v>
      </c>
      <c r="L218" s="48">
        <f t="shared" si="152"/>
        <v>201210.00000000003</v>
      </c>
      <c r="M218" s="48">
        <f t="shared" si="152"/>
        <v>204740</v>
      </c>
      <c r="N218" s="48">
        <f t="shared" si="152"/>
        <v>208270</v>
      </c>
      <c r="O218" s="48">
        <f t="shared" si="152"/>
        <v>211800</v>
      </c>
      <c r="P218" s="48">
        <f t="shared" si="152"/>
        <v>215330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748</v>
      </c>
      <c r="D222" s="2"/>
      <c r="E222" s="110">
        <v>3.5</v>
      </c>
      <c r="F222" s="155">
        <f>E222*1.03</f>
        <v>3.605</v>
      </c>
      <c r="G222" s="155">
        <f t="shared" ref="G222:P222" si="153">F222*1.03</f>
        <v>3.7131500000000002</v>
      </c>
      <c r="H222" s="155">
        <f t="shared" si="153"/>
        <v>3.8245445000000005</v>
      </c>
      <c r="I222" s="155">
        <f t="shared" si="153"/>
        <v>3.9392808350000004</v>
      </c>
      <c r="J222" s="155">
        <f t="shared" si="153"/>
        <v>4.0574592600500008</v>
      </c>
      <c r="K222" s="155">
        <f t="shared" si="153"/>
        <v>4.1791830378515007</v>
      </c>
      <c r="L222" s="155">
        <f t="shared" si="153"/>
        <v>4.3045585289870454</v>
      </c>
      <c r="M222" s="155">
        <f t="shared" si="153"/>
        <v>4.4336952848566566</v>
      </c>
      <c r="N222" s="155">
        <f t="shared" si="153"/>
        <v>4.5667061434023566</v>
      </c>
      <c r="O222" s="155">
        <f t="shared" si="153"/>
        <v>4.7037073277044277</v>
      </c>
      <c r="P222" s="155">
        <f t="shared" si="153"/>
        <v>4.844818547535561</v>
      </c>
      <c r="Q222" s="155"/>
    </row>
    <row r="223" spans="1:17" x14ac:dyDescent="0.25">
      <c r="A223" s="16"/>
      <c r="B223" s="2" t="s">
        <v>461</v>
      </c>
      <c r="D223" s="2"/>
      <c r="E223" s="48">
        <v>1350</v>
      </c>
      <c r="F223" s="48">
        <f>E223</f>
        <v>1350</v>
      </c>
      <c r="G223" s="48">
        <f t="shared" ref="G223:P223" si="154">F223</f>
        <v>1350</v>
      </c>
      <c r="H223" s="48">
        <f t="shared" si="154"/>
        <v>1350</v>
      </c>
      <c r="I223" s="48">
        <f t="shared" si="154"/>
        <v>1350</v>
      </c>
      <c r="J223" s="48">
        <f t="shared" si="154"/>
        <v>1350</v>
      </c>
      <c r="K223" s="48">
        <f t="shared" si="154"/>
        <v>1350</v>
      </c>
      <c r="L223" s="48">
        <f t="shared" si="154"/>
        <v>1350</v>
      </c>
      <c r="M223" s="48">
        <f t="shared" si="154"/>
        <v>1350</v>
      </c>
      <c r="N223" s="48">
        <f t="shared" si="154"/>
        <v>1350</v>
      </c>
      <c r="O223" s="48">
        <f t="shared" si="154"/>
        <v>1350</v>
      </c>
      <c r="P223" s="48">
        <f t="shared" si="154"/>
        <v>1350</v>
      </c>
      <c r="Q223" s="10"/>
    </row>
    <row r="224" spans="1:17" x14ac:dyDescent="0.25">
      <c r="A224" s="2"/>
      <c r="B224" s="2" t="s">
        <v>462</v>
      </c>
      <c r="C224" s="31"/>
      <c r="E224" s="48">
        <f>E222*E223*12</f>
        <v>56700</v>
      </c>
      <c r="F224" s="48">
        <f>F222*F223*12</f>
        <v>58401</v>
      </c>
      <c r="G224" s="48">
        <f t="shared" ref="G224:N224" si="155">G222*G223*12</f>
        <v>60153.030000000006</v>
      </c>
      <c r="H224" s="48">
        <f t="shared" si="155"/>
        <v>61957.620900000009</v>
      </c>
      <c r="I224" s="48">
        <f t="shared" si="155"/>
        <v>63816.349527000013</v>
      </c>
      <c r="J224" s="48">
        <f t="shared" si="155"/>
        <v>65730.840012810018</v>
      </c>
      <c r="K224" s="48">
        <f t="shared" si="155"/>
        <v>67702.765213194303</v>
      </c>
      <c r="L224" s="48">
        <f t="shared" si="155"/>
        <v>69733.848169590143</v>
      </c>
      <c r="M224" s="48">
        <f t="shared" si="155"/>
        <v>71825.86361467783</v>
      </c>
      <c r="N224" s="48">
        <f t="shared" si="155"/>
        <v>73980.639523118181</v>
      </c>
      <c r="O224" s="48">
        <f>O222*O223*12</f>
        <v>76200.058708811732</v>
      </c>
      <c r="P224" s="48">
        <f>P222*P223*12</f>
        <v>78486.060470076089</v>
      </c>
      <c r="Q224" s="10"/>
    </row>
  </sheetData>
  <printOptions horizontalCentered="1"/>
  <pageMargins left="0.7" right="0.7" top="0.75" bottom="0.75" header="0.3" footer="0.3"/>
  <pageSetup paperSize="17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H224"/>
  <sheetViews>
    <sheetView workbookViewId="0">
      <selection activeCell="C18" sqref="C18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5.5703125" bestFit="1" customWidth="1"/>
    <col min="5" max="16" width="12.71093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Site5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 t="shared" ref="F5:P5" si="1">F4+E5</f>
        <v>0.02</v>
      </c>
      <c r="G5" s="81">
        <f t="shared" si="1"/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1.1000000000000001</v>
      </c>
      <c r="F13" s="93">
        <v>1.08</v>
      </c>
      <c r="G13" s="93">
        <v>1.06</v>
      </c>
      <c r="H13" s="93">
        <v>1.02</v>
      </c>
      <c r="I13" s="64">
        <f t="shared" ref="G13:P16" si="8">H13</f>
        <v>1.02</v>
      </c>
      <c r="J13" s="64">
        <f t="shared" si="8"/>
        <v>1.02</v>
      </c>
      <c r="K13" s="64">
        <f t="shared" si="8"/>
        <v>1.02</v>
      </c>
      <c r="L13" s="64">
        <f t="shared" si="8"/>
        <v>1.02</v>
      </c>
      <c r="M13" s="64">
        <f t="shared" si="8"/>
        <v>1.02</v>
      </c>
      <c r="N13" s="64">
        <f t="shared" si="8"/>
        <v>1.02</v>
      </c>
      <c r="O13" s="64">
        <f t="shared" si="8"/>
        <v>1.02</v>
      </c>
      <c r="P13" s="64">
        <f t="shared" si="8"/>
        <v>1.02</v>
      </c>
    </row>
    <row r="14" spans="1:60" x14ac:dyDescent="0.25">
      <c r="A14" s="30"/>
      <c r="B14" t="s">
        <v>141</v>
      </c>
      <c r="E14" s="93">
        <v>0.3</v>
      </c>
      <c r="F14" s="64">
        <f>E14</f>
        <v>0.3</v>
      </c>
      <c r="G14" s="64">
        <f t="shared" si="8"/>
        <v>0.3</v>
      </c>
      <c r="H14" s="64">
        <f t="shared" si="8"/>
        <v>0.3</v>
      </c>
      <c r="I14" s="64">
        <f t="shared" si="8"/>
        <v>0.3</v>
      </c>
      <c r="J14" s="64">
        <f t="shared" si="8"/>
        <v>0.3</v>
      </c>
      <c r="K14" s="64">
        <f t="shared" si="8"/>
        <v>0.3</v>
      </c>
      <c r="L14" s="64">
        <f t="shared" si="8"/>
        <v>0.3</v>
      </c>
      <c r="M14" s="64">
        <f t="shared" si="8"/>
        <v>0.3</v>
      </c>
      <c r="N14" s="64">
        <f t="shared" si="8"/>
        <v>0.3</v>
      </c>
      <c r="O14" s="64">
        <f t="shared" si="8"/>
        <v>0.3</v>
      </c>
      <c r="P14" s="64">
        <f t="shared" si="8"/>
        <v>0.3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 t="shared" ref="E17:P17" si="10">E13*E182</f>
        <v>82.5</v>
      </c>
      <c r="F17" s="31">
        <f t="shared" si="10"/>
        <v>113.4</v>
      </c>
      <c r="G17" s="31">
        <f t="shared" si="10"/>
        <v>127.2</v>
      </c>
      <c r="H17" s="31">
        <f t="shared" si="10"/>
        <v>128.52000000000001</v>
      </c>
      <c r="I17" s="31">
        <f t="shared" si="10"/>
        <v>134.64000000000001</v>
      </c>
      <c r="J17" s="31">
        <f t="shared" si="10"/>
        <v>141.78</v>
      </c>
      <c r="K17" s="31">
        <f t="shared" si="10"/>
        <v>148.92000000000002</v>
      </c>
      <c r="L17" s="31">
        <f t="shared" si="10"/>
        <v>156.06</v>
      </c>
      <c r="M17" s="31">
        <f t="shared" si="10"/>
        <v>164.22</v>
      </c>
      <c r="N17" s="31">
        <f t="shared" si="10"/>
        <v>172.38</v>
      </c>
      <c r="O17" s="31">
        <f t="shared" si="10"/>
        <v>180.54</v>
      </c>
      <c r="P17" s="31">
        <f t="shared" si="10"/>
        <v>189.72</v>
      </c>
    </row>
    <row r="18" spans="1:16" x14ac:dyDescent="0.25">
      <c r="A18" s="30"/>
      <c r="B18" s="18" t="s">
        <v>145</v>
      </c>
      <c r="E18" s="31">
        <f>+E17*E14</f>
        <v>24.75</v>
      </c>
      <c r="F18" s="31">
        <f>+F17*F14</f>
        <v>34.020000000000003</v>
      </c>
      <c r="G18" s="31">
        <f>+G17*G14</f>
        <v>38.159999999999997</v>
      </c>
      <c r="H18" s="31">
        <f>+H17*H14</f>
        <v>38.556000000000004</v>
      </c>
      <c r="I18" s="31">
        <f>+I17*I14</f>
        <v>40.392000000000003</v>
      </c>
      <c r="J18" s="31">
        <f t="shared" ref="J18:P18" si="11">+J17*J14</f>
        <v>42.533999999999999</v>
      </c>
      <c r="K18" s="31">
        <f t="shared" si="11"/>
        <v>44.676000000000002</v>
      </c>
      <c r="L18" s="31">
        <f t="shared" si="11"/>
        <v>46.817999999999998</v>
      </c>
      <c r="M18" s="31">
        <f t="shared" si="11"/>
        <v>49.265999999999998</v>
      </c>
      <c r="N18" s="31">
        <f t="shared" si="11"/>
        <v>51.713999999999999</v>
      </c>
      <c r="O18" s="31">
        <f t="shared" si="11"/>
        <v>54.161999999999999</v>
      </c>
      <c r="P18" s="31">
        <f t="shared" si="11"/>
        <v>56.915999999999997</v>
      </c>
    </row>
    <row r="19" spans="1:16" x14ac:dyDescent="0.25">
      <c r="A19" s="30"/>
      <c r="B19" s="18" t="s">
        <v>146</v>
      </c>
      <c r="E19" s="31">
        <f t="shared" ref="E19:P19" si="12">E182*E15</f>
        <v>7.5</v>
      </c>
      <c r="F19" s="31">
        <f t="shared" si="12"/>
        <v>10.5</v>
      </c>
      <c r="G19" s="31">
        <f t="shared" si="12"/>
        <v>12</v>
      </c>
      <c r="H19" s="31">
        <f t="shared" si="12"/>
        <v>12.600000000000001</v>
      </c>
      <c r="I19" s="31">
        <f t="shared" si="12"/>
        <v>13.200000000000001</v>
      </c>
      <c r="J19" s="31">
        <f t="shared" si="12"/>
        <v>13.9</v>
      </c>
      <c r="K19" s="31">
        <f t="shared" si="12"/>
        <v>14.600000000000001</v>
      </c>
      <c r="L19" s="31">
        <f t="shared" si="12"/>
        <v>15.3</v>
      </c>
      <c r="M19" s="31">
        <f t="shared" si="12"/>
        <v>16.100000000000001</v>
      </c>
      <c r="N19" s="31">
        <f t="shared" si="12"/>
        <v>16.900000000000002</v>
      </c>
      <c r="O19" s="31">
        <f t="shared" si="12"/>
        <v>17.7</v>
      </c>
      <c r="P19" s="31">
        <f t="shared" si="12"/>
        <v>18.600000000000001</v>
      </c>
    </row>
    <row r="20" spans="1:16" x14ac:dyDescent="0.25">
      <c r="A20" s="30"/>
      <c r="B20" s="18" t="s">
        <v>147</v>
      </c>
      <c r="E20" s="31">
        <f t="shared" ref="E20:P20" si="13">E182*E16</f>
        <v>0.75</v>
      </c>
      <c r="F20" s="31">
        <f t="shared" si="13"/>
        <v>1.05</v>
      </c>
      <c r="G20" s="31">
        <f t="shared" si="13"/>
        <v>1.2</v>
      </c>
      <c r="H20" s="31">
        <f t="shared" si="13"/>
        <v>1.26</v>
      </c>
      <c r="I20" s="31">
        <f t="shared" si="13"/>
        <v>1.32</v>
      </c>
      <c r="J20" s="31">
        <f t="shared" si="13"/>
        <v>1.3900000000000001</v>
      </c>
      <c r="K20" s="31">
        <f t="shared" si="13"/>
        <v>1.46</v>
      </c>
      <c r="L20" s="31">
        <f t="shared" si="13"/>
        <v>1.53</v>
      </c>
      <c r="M20" s="31">
        <f t="shared" si="13"/>
        <v>1.61</v>
      </c>
      <c r="N20" s="31">
        <f t="shared" si="13"/>
        <v>1.69</v>
      </c>
      <c r="O20" s="31">
        <f t="shared" si="13"/>
        <v>1.77</v>
      </c>
      <c r="P20" s="31">
        <f t="shared" si="13"/>
        <v>1.86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D23" s="325"/>
      <c r="E23" s="6">
        <f>(0.5*(E17*Revenue!D8))+(0.5*(E182*Revenue!D8))</f>
        <v>527625</v>
      </c>
      <c r="F23" s="6">
        <f>(0.5*(F17*Revenue!E8))+(0.5*(F182*Revenue!E8))</f>
        <v>737127.3</v>
      </c>
      <c r="G23" s="6">
        <f>(0.5*(G17*Revenue!F8))+(0.5*(G182*Revenue!F8))</f>
        <v>840588.38175000018</v>
      </c>
      <c r="H23" s="6">
        <f>(0.5*(H17*Revenue!G8))+(0.5*(H182*Revenue!G8))</f>
        <v>871970.68804584397</v>
      </c>
      <c r="I23" s="6">
        <f>(0.5*(I17*Revenue!H8))+(0.5*(I182*Revenue!H8))</f>
        <v>920344.30002553004</v>
      </c>
      <c r="J23" s="6">
        <f>(0.5*(J17*Revenue!I8))+(0.5*(J182*Revenue!I8))</f>
        <v>976419.0654267068</v>
      </c>
      <c r="K23" s="6">
        <f>(0.5*(K17*Revenue!J8))+(0.5*(K182*Revenue!J8))</f>
        <v>1033283.1829420249</v>
      </c>
      <c r="L23" s="6">
        <f>(0.5*(L17*Revenue!K8))+(0.5*(L182*Revenue!K8))</f>
        <v>1090945.3386476422</v>
      </c>
      <c r="M23" s="6">
        <f>(0.5*(M17*Revenue!L8))+(0.5*(M182*Revenue!L8))</f>
        <v>1156598.1439129896</v>
      </c>
      <c r="N23" s="6">
        <f>(0.5*(N17*Revenue!M8))+(0.5*(N182*Revenue!M8))</f>
        <v>1223174.3755820186</v>
      </c>
      <c r="O23" s="6">
        <f>(0.5*(O17*Revenue!N8))+(0.5*(O182*Revenue!N8))</f>
        <v>1290684.192080488</v>
      </c>
      <c r="P23" s="6">
        <f>(0.5*(P17*Revenue!O8))+(0.5*(P182*Revenue!O8))</f>
        <v>1366484.5433611469</v>
      </c>
    </row>
    <row r="24" spans="1:16" s="2" customFormat="1" collapsed="1" x14ac:dyDescent="0.25">
      <c r="A24" s="16"/>
      <c r="B24" s="16" t="s">
        <v>427</v>
      </c>
      <c r="D24" s="325"/>
      <c r="E24" s="174">
        <f t="shared" ref="E24:P24" si="15">SUM(E23:E23)</f>
        <v>527625</v>
      </c>
      <c r="F24" s="174">
        <f t="shared" si="15"/>
        <v>737127.3</v>
      </c>
      <c r="G24" s="174">
        <f t="shared" si="15"/>
        <v>840588.38175000018</v>
      </c>
      <c r="H24" s="174">
        <f t="shared" si="15"/>
        <v>871970.68804584397</v>
      </c>
      <c r="I24" s="174">
        <f t="shared" si="15"/>
        <v>920344.30002553004</v>
      </c>
      <c r="J24" s="174">
        <f t="shared" si="15"/>
        <v>976419.0654267068</v>
      </c>
      <c r="K24" s="174">
        <f t="shared" si="15"/>
        <v>1033283.1829420249</v>
      </c>
      <c r="L24" s="174">
        <f t="shared" si="15"/>
        <v>1090945.3386476422</v>
      </c>
      <c r="M24" s="174">
        <f t="shared" si="15"/>
        <v>1156598.1439129896</v>
      </c>
      <c r="N24" s="174">
        <f t="shared" si="15"/>
        <v>1223174.3755820186</v>
      </c>
      <c r="O24" s="174">
        <f t="shared" si="15"/>
        <v>1290684.192080488</v>
      </c>
      <c r="P24" s="174">
        <f t="shared" si="15"/>
        <v>1366484.5433611469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709</v>
      </c>
      <c r="E25" s="6">
        <f>IF($D25="YES",0,E$17*Revenue!D$12)</f>
        <v>1237.5</v>
      </c>
      <c r="F25" s="6">
        <f>IF($D25="YES",0,F$17*Revenue!E$12)</f>
        <v>2041.2</v>
      </c>
      <c r="G25" s="6">
        <f>IF($D25="YES",0,G$17*Revenue!F$12)</f>
        <v>2289.6</v>
      </c>
      <c r="H25" s="6">
        <f>IF($D25="YES",0,H$17*Revenue!G$12)</f>
        <v>2313.36</v>
      </c>
      <c r="I25" s="6">
        <f>IF($D25="YES",0,I$17*Revenue!H$12)</f>
        <v>2423.5200000000004</v>
      </c>
      <c r="J25" s="6">
        <f>IF($D25="YES",0,J$17*Revenue!I$12)</f>
        <v>2552.04</v>
      </c>
      <c r="K25" s="6">
        <f>IF($D25="YES",0,K$17*Revenue!J$12)</f>
        <v>2680.5600000000004</v>
      </c>
      <c r="L25" s="6">
        <f>IF($D25="YES",0,L$17*Revenue!K$12)</f>
        <v>2809.08</v>
      </c>
      <c r="M25" s="6">
        <f>IF($D25="YES",0,M$17*Revenue!L$12)</f>
        <v>2955.96</v>
      </c>
      <c r="N25" s="6">
        <f>IF($D25="YES",0,N$17*Revenue!M$12)</f>
        <v>3102.84</v>
      </c>
      <c r="O25" s="6">
        <f>IF($D25="YES",0,O$17*Revenue!N$12)</f>
        <v>3249.72</v>
      </c>
      <c r="P25" s="6">
        <f>IF($D25="YES",0,P$17*Revenue!O$12)</f>
        <v>3414.96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">
        <v>709</v>
      </c>
      <c r="E27" s="6">
        <f>IF($D27="YES",0,E$17*Revenue!D$19)</f>
        <v>4537.5</v>
      </c>
      <c r="F27" s="6">
        <f>IF($D27="YES",0,F$17*Revenue!E$19)</f>
        <v>4536</v>
      </c>
      <c r="G27" s="6">
        <f>IF($D27="YES",0,G$17*Revenue!F$19)</f>
        <v>5088</v>
      </c>
      <c r="H27" s="6">
        <f>IF($D27="YES",0,H$17*Revenue!G$19)</f>
        <v>5140.8</v>
      </c>
      <c r="I27" s="6">
        <f>IF($D27="YES",0,I$17*Revenue!H$19)</f>
        <v>5385.6</v>
      </c>
      <c r="J27" s="6">
        <f>IF($D27="YES",0,J$17*Revenue!I$19)</f>
        <v>5671.2</v>
      </c>
      <c r="K27" s="6">
        <f>IF($D27="YES",0,K$17*Revenue!J$19)</f>
        <v>5956.8000000000011</v>
      </c>
      <c r="L27" s="6">
        <f>IF($D27="YES",0,L$17*Revenue!K$19)</f>
        <v>6242.4</v>
      </c>
      <c r="M27" s="6">
        <f>IF($D27="YES",0,M$17*Revenue!L$19)</f>
        <v>6568.8</v>
      </c>
      <c r="N27" s="6">
        <f>IF($D27="YES",0,N$17*Revenue!M$19)</f>
        <v>6895.2</v>
      </c>
      <c r="O27" s="6">
        <f>IF($D27="YES",0,O$17*Revenue!N$19)</f>
        <v>7221.5999999999995</v>
      </c>
      <c r="P27" s="6">
        <f>IF($D27="YES",0,P$17*Revenue!O$19)</f>
        <v>7588.8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6">F125*0.5</f>
        <v>0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0</v>
      </c>
      <c r="K28" s="32">
        <f t="shared" si="16"/>
        <v>0</v>
      </c>
      <c r="L28" s="32">
        <f t="shared" si="16"/>
        <v>0</v>
      </c>
      <c r="M28" s="32">
        <f t="shared" si="16"/>
        <v>0</v>
      </c>
      <c r="N28" s="32">
        <f t="shared" si="16"/>
        <v>0</v>
      </c>
      <c r="O28" s="32">
        <f t="shared" si="16"/>
        <v>0</v>
      </c>
      <c r="P28" s="32">
        <f t="shared" si="16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7">SUM(E25:E28)</f>
        <v>5775</v>
      </c>
      <c r="F29" s="174">
        <f t="shared" si="17"/>
        <v>6577.2</v>
      </c>
      <c r="G29" s="174">
        <f t="shared" si="17"/>
        <v>7377.6</v>
      </c>
      <c r="H29" s="174">
        <f t="shared" si="17"/>
        <v>7454.16</v>
      </c>
      <c r="I29" s="174">
        <f t="shared" si="17"/>
        <v>7809.1200000000008</v>
      </c>
      <c r="J29" s="174">
        <f t="shared" si="17"/>
        <v>8223.24</v>
      </c>
      <c r="K29" s="174">
        <f t="shared" si="17"/>
        <v>8637.36</v>
      </c>
      <c r="L29" s="174">
        <f t="shared" si="17"/>
        <v>9051.48</v>
      </c>
      <c r="M29" s="174">
        <f t="shared" si="17"/>
        <v>9524.76</v>
      </c>
      <c r="N29" s="174">
        <f t="shared" si="17"/>
        <v>9998.0400000000009</v>
      </c>
      <c r="O29" s="174">
        <f t="shared" si="17"/>
        <v>10471.32</v>
      </c>
      <c r="P29" s="174">
        <f t="shared" si="17"/>
        <v>11003.76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709</v>
      </c>
      <c r="E30" s="6">
        <f>IF($D30="YES",0,E$17*Revenue!D$17)</f>
        <v>1237.5</v>
      </c>
      <c r="F30" s="6">
        <f>IF($D30="YES",0,F$17*Revenue!E$17)</f>
        <v>2041.2</v>
      </c>
      <c r="G30" s="6">
        <f>IF($D30="YES",0,G$17*Revenue!F$17)</f>
        <v>2289.6</v>
      </c>
      <c r="H30" s="6">
        <f>IF($D30="YES",0,H$17*Revenue!G$17)</f>
        <v>2313.36</v>
      </c>
      <c r="I30" s="6">
        <f>IF($D30="YES",0,I$17*Revenue!H$17)</f>
        <v>2423.5200000000004</v>
      </c>
      <c r="J30" s="6">
        <f>IF($D30="YES",0,J$17*Revenue!I$17)</f>
        <v>2552.04</v>
      </c>
      <c r="K30" s="6">
        <f>IF($D30="YES",0,K$17*Revenue!J$17)</f>
        <v>2680.5600000000004</v>
      </c>
      <c r="L30" s="6">
        <f>IF($D30="YES",0,L$17*Revenue!K$17)</f>
        <v>2809.08</v>
      </c>
      <c r="M30" s="6">
        <f>IF($D30="YES",0,M$17*Revenue!L$17)</f>
        <v>2955.96</v>
      </c>
      <c r="N30" s="6">
        <f>IF($D30="YES",0,N$17*Revenue!M$17)</f>
        <v>3102.84</v>
      </c>
      <c r="O30" s="6">
        <f>IF($D30="YES",0,O$17*Revenue!N$17)</f>
        <v>3249.72</v>
      </c>
      <c r="P30" s="6">
        <f>IF($D30="YES",0,P$17*Revenue!O$17)</f>
        <v>3414.96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74">
        <f t="shared" ref="E34:P34" si="18">SUM(E30:E33)</f>
        <v>1237.5</v>
      </c>
      <c r="F34" s="174">
        <f t="shared" si="18"/>
        <v>2041.2</v>
      </c>
      <c r="G34" s="174">
        <f t="shared" si="18"/>
        <v>2289.6</v>
      </c>
      <c r="H34" s="174">
        <f t="shared" si="18"/>
        <v>2313.36</v>
      </c>
      <c r="I34" s="174">
        <f t="shared" si="18"/>
        <v>2423.5200000000004</v>
      </c>
      <c r="J34" s="174">
        <f t="shared" si="18"/>
        <v>2552.04</v>
      </c>
      <c r="K34" s="174">
        <f t="shared" si="18"/>
        <v>2680.5600000000004</v>
      </c>
      <c r="L34" s="174">
        <f t="shared" si="18"/>
        <v>2809.08</v>
      </c>
      <c r="M34" s="174">
        <f t="shared" si="18"/>
        <v>2955.96</v>
      </c>
      <c r="N34" s="174">
        <f t="shared" si="18"/>
        <v>3102.84</v>
      </c>
      <c r="O34" s="174">
        <f t="shared" si="18"/>
        <v>3249.72</v>
      </c>
      <c r="P34" s="174">
        <f t="shared" si="18"/>
        <v>3414.96</v>
      </c>
    </row>
    <row r="35" spans="1:16" s="2" customFormat="1" hidden="1" outlineLevel="1" x14ac:dyDescent="0.25">
      <c r="A35" s="16"/>
      <c r="B35" s="6" t="s">
        <v>271</v>
      </c>
      <c r="D35" s="82"/>
      <c r="E35" s="107">
        <f>Revenue!D23</f>
        <v>260000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74">
        <f>SUM(E35:E37)</f>
        <v>260000</v>
      </c>
      <c r="F38" s="174">
        <f t="shared" ref="F38:P38" si="19">SUM(F35:F37)</f>
        <v>0</v>
      </c>
      <c r="G38" s="174">
        <f t="shared" si="19"/>
        <v>0</v>
      </c>
      <c r="H38" s="174">
        <f t="shared" si="19"/>
        <v>0</v>
      </c>
      <c r="I38" s="174">
        <f t="shared" si="19"/>
        <v>0</v>
      </c>
      <c r="J38" s="174">
        <f t="shared" si="19"/>
        <v>0</v>
      </c>
      <c r="K38" s="174">
        <f t="shared" si="19"/>
        <v>0</v>
      </c>
      <c r="L38" s="174">
        <f t="shared" si="19"/>
        <v>0</v>
      </c>
      <c r="M38" s="174">
        <f t="shared" si="19"/>
        <v>0</v>
      </c>
      <c r="N38" s="174">
        <f t="shared" si="19"/>
        <v>0</v>
      </c>
      <c r="O38" s="174">
        <f t="shared" si="19"/>
        <v>0</v>
      </c>
      <c r="P38" s="174">
        <f t="shared" si="19"/>
        <v>0</v>
      </c>
    </row>
    <row r="39" spans="1:16" s="2" customFormat="1" ht="15.75" thickBot="1" x14ac:dyDescent="0.3">
      <c r="A39" s="16" t="s">
        <v>210</v>
      </c>
      <c r="E39" s="131">
        <f>E34+E29+E24+E38</f>
        <v>794637.5</v>
      </c>
      <c r="F39" s="131">
        <f t="shared" ref="F39:P39" si="20">F34+F29+F24+F38</f>
        <v>745745.70000000007</v>
      </c>
      <c r="G39" s="131">
        <f t="shared" si="20"/>
        <v>850255.58175000013</v>
      </c>
      <c r="H39" s="131">
        <f t="shared" si="20"/>
        <v>881738.20804584399</v>
      </c>
      <c r="I39" s="131">
        <f t="shared" si="20"/>
        <v>930576.94002553006</v>
      </c>
      <c r="J39" s="131">
        <f t="shared" si="20"/>
        <v>987194.34542670683</v>
      </c>
      <c r="K39" s="131">
        <f t="shared" si="20"/>
        <v>1044601.1029420249</v>
      </c>
      <c r="L39" s="131">
        <f t="shared" si="20"/>
        <v>1102805.8986476422</v>
      </c>
      <c r="M39" s="131">
        <f t="shared" si="20"/>
        <v>1169078.8639129896</v>
      </c>
      <c r="N39" s="131">
        <f t="shared" si="20"/>
        <v>1236275.2555820185</v>
      </c>
      <c r="O39" s="131">
        <f t="shared" si="20"/>
        <v>1304405.232080488</v>
      </c>
      <c r="P39" s="131">
        <f t="shared" si="20"/>
        <v>1380903.2633611469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195" t="s">
        <v>750</v>
      </c>
      <c r="D42" s="331">
        <v>1.144827</v>
      </c>
      <c r="E42" s="294">
        <f>IF(E$182=0,0,SUMIFS(E$209:E$217,$A$209:$A$217,$A42))*$D42</f>
        <v>0</v>
      </c>
      <c r="F42" s="294">
        <f t="shared" ref="F42:P42" si="22">IF(F$182=0,0,SUMIFS(F$209:F$217,$A$209:$A$217,$A42))*$D42</f>
        <v>0</v>
      </c>
      <c r="G42" s="294">
        <f t="shared" si="22"/>
        <v>32742.052200000002</v>
      </c>
      <c r="H42" s="294">
        <f t="shared" si="22"/>
        <v>33371.707050000005</v>
      </c>
      <c r="I42" s="294">
        <f t="shared" si="22"/>
        <v>34001.361900000004</v>
      </c>
      <c r="J42" s="294">
        <f t="shared" si="22"/>
        <v>34631.016750000003</v>
      </c>
      <c r="K42" s="294">
        <f t="shared" si="22"/>
        <v>35260.671600000009</v>
      </c>
      <c r="L42" s="294">
        <f t="shared" si="22"/>
        <v>35890.326450000008</v>
      </c>
      <c r="M42" s="294">
        <f t="shared" si="22"/>
        <v>36519.981299999999</v>
      </c>
      <c r="N42" s="294">
        <f t="shared" si="22"/>
        <v>74299.272299999997</v>
      </c>
      <c r="O42" s="294">
        <f t="shared" si="22"/>
        <v>75558.582000000009</v>
      </c>
      <c r="P42" s="294">
        <f t="shared" si="22"/>
        <v>76817.891700000007</v>
      </c>
    </row>
    <row r="43" spans="1:16" s="2" customFormat="1" hidden="1" outlineLevel="2" x14ac:dyDescent="0.25">
      <c r="A43" s="62" t="s">
        <v>402</v>
      </c>
      <c r="B43" s="18" t="s">
        <v>372</v>
      </c>
      <c r="C43" s="195" t="s">
        <v>751</v>
      </c>
      <c r="D43" s="332">
        <v>1.1299999999999999E-2</v>
      </c>
      <c r="E43" s="107">
        <f>SUMIFS(E$209:E$217,$A$209:$A$217,$A43)*(1-$D43)</f>
        <v>0</v>
      </c>
      <c r="F43" s="107">
        <f t="shared" ref="F43:P43" si="23">SUMIFS(F$209:F$217,$A$209:$A$217,$A43)*(1-$D43)</f>
        <v>0</v>
      </c>
      <c r="G43" s="107">
        <f t="shared" si="23"/>
        <v>0</v>
      </c>
      <c r="H43" s="107">
        <f t="shared" si="23"/>
        <v>0</v>
      </c>
      <c r="I43" s="107">
        <f t="shared" si="23"/>
        <v>0</v>
      </c>
      <c r="J43" s="107">
        <f t="shared" si="23"/>
        <v>0</v>
      </c>
      <c r="K43" s="107">
        <f t="shared" si="23"/>
        <v>0</v>
      </c>
      <c r="L43" s="107">
        <f t="shared" si="23"/>
        <v>0</v>
      </c>
      <c r="M43" s="107">
        <f t="shared" si="23"/>
        <v>0</v>
      </c>
      <c r="N43" s="107">
        <f t="shared" si="23"/>
        <v>0</v>
      </c>
      <c r="O43" s="107">
        <f t="shared" si="23"/>
        <v>0</v>
      </c>
      <c r="P43" s="107">
        <f t="shared" si="23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0</v>
      </c>
      <c r="F44" s="107">
        <f t="shared" ref="F44:P44" si="24">SUM(F42:F43)</f>
        <v>0</v>
      </c>
      <c r="G44" s="107">
        <f t="shared" si="24"/>
        <v>32742.052200000002</v>
      </c>
      <c r="H44" s="107">
        <f t="shared" si="24"/>
        <v>33371.707050000005</v>
      </c>
      <c r="I44" s="107">
        <f t="shared" si="24"/>
        <v>34001.361900000004</v>
      </c>
      <c r="J44" s="107">
        <f t="shared" si="24"/>
        <v>34631.016750000003</v>
      </c>
      <c r="K44" s="107">
        <f t="shared" si="24"/>
        <v>35260.671600000009</v>
      </c>
      <c r="L44" s="107">
        <f t="shared" si="24"/>
        <v>35890.326450000008</v>
      </c>
      <c r="M44" s="107">
        <f t="shared" si="24"/>
        <v>36519.981299999999</v>
      </c>
      <c r="N44" s="107">
        <f t="shared" si="24"/>
        <v>74299.272299999997</v>
      </c>
      <c r="O44" s="107">
        <f t="shared" si="24"/>
        <v>75558.582000000009</v>
      </c>
      <c r="P44" s="107">
        <f t="shared" si="24"/>
        <v>76817.891700000007</v>
      </c>
    </row>
    <row r="45" spans="1:16" s="2" customFormat="1" hidden="1" outlineLevel="2" x14ac:dyDescent="0.25">
      <c r="A45" s="195" t="s">
        <v>403</v>
      </c>
      <c r="B45" s="74" t="s">
        <v>382</v>
      </c>
      <c r="C45" s="19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195" t="s">
        <v>751</v>
      </c>
      <c r="D46" s="332">
        <v>1.1299999999999999E-2</v>
      </c>
      <c r="E46" s="107">
        <f>SUMIFS(E$209:E$217,$A$209:$A$217,$A46)*(1-$D46)</f>
        <v>88983</v>
      </c>
      <c r="F46" s="107">
        <f t="shared" ref="F46:P46" si="26">SUMIFS(F$209:F$217,$A$209:$A$217,$A46)*(1-$D46)</f>
        <v>90762.66</v>
      </c>
      <c r="G46" s="107">
        <f t="shared" si="26"/>
        <v>92542.32</v>
      </c>
      <c r="H46" s="107">
        <f t="shared" si="26"/>
        <v>94321.98</v>
      </c>
      <c r="I46" s="107">
        <f t="shared" si="26"/>
        <v>96101.64</v>
      </c>
      <c r="J46" s="107">
        <f t="shared" si="26"/>
        <v>97881.300000000017</v>
      </c>
      <c r="K46" s="107">
        <f t="shared" si="26"/>
        <v>99660.960000000021</v>
      </c>
      <c r="L46" s="107">
        <f t="shared" si="26"/>
        <v>101440.62000000001</v>
      </c>
      <c r="M46" s="107">
        <f t="shared" si="26"/>
        <v>103220.28</v>
      </c>
      <c r="N46" s="107">
        <f t="shared" si="26"/>
        <v>104999.94</v>
      </c>
      <c r="O46" s="107">
        <f t="shared" si="26"/>
        <v>106779.6</v>
      </c>
      <c r="P46" s="107">
        <f t="shared" si="26"/>
        <v>108559.26000000001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88983</v>
      </c>
      <c r="F47" s="107">
        <f t="shared" ref="F47:P47" si="27">SUM(F45:F46)</f>
        <v>90762.66</v>
      </c>
      <c r="G47" s="107">
        <f t="shared" si="27"/>
        <v>92542.32</v>
      </c>
      <c r="H47" s="107">
        <f t="shared" si="27"/>
        <v>94321.98</v>
      </c>
      <c r="I47" s="107">
        <f t="shared" si="27"/>
        <v>96101.64</v>
      </c>
      <c r="J47" s="107">
        <f t="shared" si="27"/>
        <v>97881.300000000017</v>
      </c>
      <c r="K47" s="107">
        <f t="shared" si="27"/>
        <v>99660.960000000021</v>
      </c>
      <c r="L47" s="107">
        <f t="shared" si="27"/>
        <v>101440.62000000001</v>
      </c>
      <c r="M47" s="107">
        <f t="shared" si="27"/>
        <v>103220.28</v>
      </c>
      <c r="N47" s="107">
        <f t="shared" si="27"/>
        <v>104999.94</v>
      </c>
      <c r="O47" s="107">
        <f t="shared" si="27"/>
        <v>106779.6</v>
      </c>
      <c r="P47" s="107">
        <f t="shared" si="27"/>
        <v>108559.26000000001</v>
      </c>
    </row>
    <row r="48" spans="1:16" s="2" customFormat="1" hidden="1" outlineLevel="2" x14ac:dyDescent="0.25">
      <c r="A48" s="195" t="s">
        <v>407</v>
      </c>
      <c r="B48" s="74" t="s">
        <v>377</v>
      </c>
      <c r="C48" s="195" t="s">
        <v>750</v>
      </c>
      <c r="D48" s="331">
        <v>1.144827</v>
      </c>
      <c r="E48" s="107">
        <f>IF(E$182=0,0,SUMIFS(E$209:E$217,$A$209:$A$217,$A48))*$D48</f>
        <v>45793.08</v>
      </c>
      <c r="F48" s="107">
        <f t="shared" ref="F48:P48" si="28">IF(F$182=0,0,SUMIFS(F$209:F$217,$A$209:$A$217,$A48))*$D48</f>
        <v>46708.941599999998</v>
      </c>
      <c r="G48" s="107">
        <f t="shared" si="28"/>
        <v>47624.803200000002</v>
      </c>
      <c r="H48" s="107">
        <f t="shared" si="28"/>
        <v>48540.664799999999</v>
      </c>
      <c r="I48" s="107">
        <f t="shared" si="28"/>
        <v>49456.526400000002</v>
      </c>
      <c r="J48" s="107">
        <f t="shared" si="28"/>
        <v>50372.387999999999</v>
      </c>
      <c r="K48" s="107">
        <f t="shared" si="28"/>
        <v>51288.24960000001</v>
      </c>
      <c r="L48" s="107">
        <f t="shared" si="28"/>
        <v>52204.111200000007</v>
      </c>
      <c r="M48" s="107">
        <f t="shared" si="28"/>
        <v>53119.972800000003</v>
      </c>
      <c r="N48" s="107">
        <f t="shared" si="28"/>
        <v>54035.8344</v>
      </c>
      <c r="O48" s="107">
        <f t="shared" si="28"/>
        <v>54951.696000000004</v>
      </c>
      <c r="P48" s="107">
        <f t="shared" si="28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195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29">SUMIFS(F$209:F$217,$A$209:$A$217,$A49)*(1-$D49)</f>
        <v>0</v>
      </c>
      <c r="G49" s="107">
        <f t="shared" si="29"/>
        <v>0</v>
      </c>
      <c r="H49" s="107">
        <f t="shared" si="29"/>
        <v>0</v>
      </c>
      <c r="I49" s="107">
        <f t="shared" si="29"/>
        <v>0</v>
      </c>
      <c r="J49" s="107">
        <f t="shared" si="29"/>
        <v>0</v>
      </c>
      <c r="K49" s="107">
        <f t="shared" si="29"/>
        <v>0</v>
      </c>
      <c r="L49" s="107">
        <f t="shared" si="29"/>
        <v>0</v>
      </c>
      <c r="M49" s="107">
        <f t="shared" si="29"/>
        <v>0</v>
      </c>
      <c r="N49" s="107">
        <f t="shared" si="29"/>
        <v>0</v>
      </c>
      <c r="O49" s="107">
        <f t="shared" si="29"/>
        <v>0</v>
      </c>
      <c r="P49" s="107">
        <f t="shared" si="29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45793.08</v>
      </c>
      <c r="F50" s="107">
        <f t="shared" ref="F50:P50" si="30">SUM(F48:F49)</f>
        <v>46708.941599999998</v>
      </c>
      <c r="G50" s="107">
        <f t="shared" si="30"/>
        <v>47624.803200000002</v>
      </c>
      <c r="H50" s="107">
        <f t="shared" si="30"/>
        <v>48540.664799999999</v>
      </c>
      <c r="I50" s="107">
        <f t="shared" si="30"/>
        <v>49456.526400000002</v>
      </c>
      <c r="J50" s="107">
        <f t="shared" si="30"/>
        <v>50372.387999999999</v>
      </c>
      <c r="K50" s="107">
        <f t="shared" si="30"/>
        <v>51288.24960000001</v>
      </c>
      <c r="L50" s="107">
        <f t="shared" si="30"/>
        <v>52204.111200000007</v>
      </c>
      <c r="M50" s="107">
        <f t="shared" si="30"/>
        <v>53119.972800000003</v>
      </c>
      <c r="N50" s="107">
        <f t="shared" si="30"/>
        <v>54035.8344</v>
      </c>
      <c r="O50" s="107">
        <f t="shared" si="30"/>
        <v>54951.696000000004</v>
      </c>
      <c r="P50" s="107">
        <f t="shared" si="30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6000</v>
      </c>
      <c r="F51" s="107">
        <f t="shared" ref="F51:P51" si="31">IF(F$182=0,0,SUMIFS(F$209:F$217,$A$209:$A$217,$A51))</f>
        <v>18360</v>
      </c>
      <c r="G51" s="107">
        <f t="shared" si="31"/>
        <v>24960</v>
      </c>
      <c r="H51" s="107">
        <f t="shared" si="31"/>
        <v>25440</v>
      </c>
      <c r="I51" s="107">
        <f t="shared" si="31"/>
        <v>25920</v>
      </c>
      <c r="J51" s="107">
        <f t="shared" si="31"/>
        <v>26400.000000000004</v>
      </c>
      <c r="K51" s="107">
        <f t="shared" si="31"/>
        <v>26880.000000000004</v>
      </c>
      <c r="L51" s="107">
        <f t="shared" si="31"/>
        <v>27360.000000000004</v>
      </c>
      <c r="M51" s="107">
        <f t="shared" si="31"/>
        <v>27839.999999999996</v>
      </c>
      <c r="N51" s="107">
        <f t="shared" si="31"/>
        <v>28320</v>
      </c>
      <c r="O51" s="107">
        <f t="shared" si="31"/>
        <v>28800</v>
      </c>
      <c r="P51" s="107">
        <f t="shared" si="31"/>
        <v>29280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5000</v>
      </c>
      <c r="E52" s="107">
        <f>IF(E$182=0,0,(SUMIFS(E$188:E$196,$A$188:$A$196,$A42)+SUMIFS(E$188:E$196,$A$188:$A$196,$A43))*$D52)</f>
        <v>0</v>
      </c>
      <c r="F52" s="107">
        <f t="shared" ref="F52:P52" si="32">IF(F$182=0,0,(SUMIFS(F$188:F$196,$A$188:$A$196,$A42)+SUMIFS(F$188:F$196,$A$188:$A$196,$A43))*$D52)</f>
        <v>0</v>
      </c>
      <c r="G52" s="107">
        <f t="shared" si="32"/>
        <v>2500</v>
      </c>
      <c r="H52" s="107">
        <f t="shared" si="32"/>
        <v>2500</v>
      </c>
      <c r="I52" s="107">
        <f t="shared" si="32"/>
        <v>2500</v>
      </c>
      <c r="J52" s="107">
        <f t="shared" si="32"/>
        <v>2500</v>
      </c>
      <c r="K52" s="107">
        <f t="shared" si="32"/>
        <v>2500</v>
      </c>
      <c r="L52" s="107">
        <f t="shared" si="32"/>
        <v>2500</v>
      </c>
      <c r="M52" s="107">
        <f t="shared" si="32"/>
        <v>2500</v>
      </c>
      <c r="N52" s="107">
        <f t="shared" si="32"/>
        <v>5000</v>
      </c>
      <c r="O52" s="107">
        <f t="shared" si="32"/>
        <v>5000</v>
      </c>
      <c r="P52" s="107">
        <f t="shared" si="32"/>
        <v>5000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7500</v>
      </c>
      <c r="E53" s="107">
        <f>IF(E$182=0,0,(SUMIFS(E$188:E$196,$A$188:$A$196,$A45)+SUMIFS(E$188:E$196,$A$188:$A$196,$A46))*$D53)</f>
        <v>7500</v>
      </c>
      <c r="F53" s="107">
        <f t="shared" ref="F53:P53" si="33">IF(F$182=0,0,(SUMIFS(F$188:F$196,$A$188:$A$196,$A45)+SUMIFS(F$188:F$196,$A$188:$A$196,$A46))*$D53)</f>
        <v>7500</v>
      </c>
      <c r="G53" s="107">
        <f t="shared" si="33"/>
        <v>7500</v>
      </c>
      <c r="H53" s="107">
        <f t="shared" si="33"/>
        <v>7500</v>
      </c>
      <c r="I53" s="107">
        <f t="shared" si="33"/>
        <v>7500</v>
      </c>
      <c r="J53" s="107">
        <f t="shared" si="33"/>
        <v>7500</v>
      </c>
      <c r="K53" s="107">
        <f t="shared" si="33"/>
        <v>7500</v>
      </c>
      <c r="L53" s="107">
        <f t="shared" si="33"/>
        <v>7500</v>
      </c>
      <c r="M53" s="107">
        <f t="shared" si="33"/>
        <v>7500</v>
      </c>
      <c r="N53" s="107">
        <f t="shared" si="33"/>
        <v>7500</v>
      </c>
      <c r="O53" s="107">
        <f t="shared" si="33"/>
        <v>7500</v>
      </c>
      <c r="P53" s="107">
        <f t="shared" si="33"/>
        <v>7500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5000</v>
      </c>
      <c r="E54" s="32">
        <f>IF(E$182=0,0,(SUMIFS(E$188:E$196,$A$188:$A$196,$A48)+SUMIFS(E$188:E$196,$A$188:$A$196,$A49))*$D54)</f>
        <v>5000</v>
      </c>
      <c r="F54" s="32">
        <f t="shared" ref="F54:P54" si="34">IF(F$182=0,0,(SUMIFS(F$188:F$196,$A$188:$A$196,$A48)+SUMIFS(F$188:F$196,$A$188:$A$196,$A49))*$D54)</f>
        <v>5000</v>
      </c>
      <c r="G54" s="32">
        <f t="shared" si="34"/>
        <v>5000</v>
      </c>
      <c r="H54" s="32">
        <f t="shared" si="34"/>
        <v>5000</v>
      </c>
      <c r="I54" s="32">
        <f t="shared" si="34"/>
        <v>5000</v>
      </c>
      <c r="J54" s="32">
        <f t="shared" si="34"/>
        <v>5000</v>
      </c>
      <c r="K54" s="32">
        <f t="shared" si="34"/>
        <v>5000</v>
      </c>
      <c r="L54" s="32">
        <f t="shared" si="34"/>
        <v>5000</v>
      </c>
      <c r="M54" s="32">
        <f t="shared" si="34"/>
        <v>5000</v>
      </c>
      <c r="N54" s="32">
        <f t="shared" si="34"/>
        <v>5000</v>
      </c>
      <c r="O54" s="32">
        <f t="shared" si="34"/>
        <v>5000</v>
      </c>
      <c r="P54" s="32">
        <f t="shared" si="34"/>
        <v>5000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107">
        <f>E54+E53+E52+E51+E50+E47+E44</f>
        <v>153276.08000000002</v>
      </c>
      <c r="F55" s="107">
        <f t="shared" ref="F55:P55" si="35">F54+F53+F52+F51+F50+F47+F44</f>
        <v>168331.60159999999</v>
      </c>
      <c r="G55" s="107">
        <f t="shared" si="35"/>
        <v>212869.17540000001</v>
      </c>
      <c r="H55" s="107">
        <f t="shared" si="35"/>
        <v>216674.35185000001</v>
      </c>
      <c r="I55" s="107">
        <f t="shared" si="35"/>
        <v>220479.52830000001</v>
      </c>
      <c r="J55" s="107">
        <f t="shared" si="35"/>
        <v>224284.70475000003</v>
      </c>
      <c r="K55" s="107">
        <f t="shared" si="35"/>
        <v>228089.88120000003</v>
      </c>
      <c r="L55" s="107">
        <f t="shared" si="35"/>
        <v>231895.05765000003</v>
      </c>
      <c r="M55" s="107">
        <f t="shared" si="35"/>
        <v>235700.2341</v>
      </c>
      <c r="N55" s="107">
        <f t="shared" si="35"/>
        <v>279155.04670000001</v>
      </c>
      <c r="O55" s="107">
        <f t="shared" si="35"/>
        <v>283589.87800000003</v>
      </c>
      <c r="P55" s="107">
        <f t="shared" si="35"/>
        <v>288024.70929999999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107">
        <f>IF(E$182=0,0,SUMIFS(E$42:E$54,$A$42:$A$54,6111)*$D56)</f>
        <v>0</v>
      </c>
      <c r="F56" s="107">
        <f t="shared" ref="F56:P56" si="36">IF(F$182=0,0,SUMIFS(F$42:F$54,$A$42:$A$54,6111)*$D56)</f>
        <v>0</v>
      </c>
      <c r="G56" s="107">
        <f t="shared" si="36"/>
        <v>180.0812871</v>
      </c>
      <c r="H56" s="107">
        <f t="shared" si="36"/>
        <v>183.54438877500002</v>
      </c>
      <c r="I56" s="107">
        <f t="shared" si="36"/>
        <v>187.00749045000001</v>
      </c>
      <c r="J56" s="107">
        <f t="shared" si="36"/>
        <v>190.470592125</v>
      </c>
      <c r="K56" s="107">
        <f t="shared" si="36"/>
        <v>193.93369380000004</v>
      </c>
      <c r="L56" s="107">
        <f t="shared" si="36"/>
        <v>197.39679547500003</v>
      </c>
      <c r="M56" s="107">
        <f t="shared" si="36"/>
        <v>200.85989714999999</v>
      </c>
      <c r="N56" s="107">
        <f t="shared" si="36"/>
        <v>408.64599764999997</v>
      </c>
      <c r="O56" s="107">
        <f t="shared" si="36"/>
        <v>415.57220100000001</v>
      </c>
      <c r="P56" s="107">
        <f t="shared" si="36"/>
        <v>422.49840435000004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107">
        <f>IF(E$182=0,0,SUMIFS(E$42:E$54,$A$42:$A$54,6114)*$D57)</f>
        <v>489.40649999999999</v>
      </c>
      <c r="F57" s="107">
        <f t="shared" ref="F57:P57" si="37">IF(F$182=0,0,SUMIFS(F$42:F$54,$A$42:$A$54,6114)*$D57)</f>
        <v>499.19463000000002</v>
      </c>
      <c r="G57" s="107">
        <f t="shared" si="37"/>
        <v>508.98275999999998</v>
      </c>
      <c r="H57" s="107">
        <f t="shared" si="37"/>
        <v>518.77088999999989</v>
      </c>
      <c r="I57" s="107">
        <f t="shared" si="37"/>
        <v>528.55901999999992</v>
      </c>
      <c r="J57" s="107">
        <f t="shared" si="37"/>
        <v>538.34715000000006</v>
      </c>
      <c r="K57" s="107">
        <f t="shared" si="37"/>
        <v>548.13528000000008</v>
      </c>
      <c r="L57" s="107">
        <f t="shared" si="37"/>
        <v>557.92340999999999</v>
      </c>
      <c r="M57" s="107">
        <f t="shared" si="37"/>
        <v>567.71154000000001</v>
      </c>
      <c r="N57" s="107">
        <f t="shared" si="37"/>
        <v>577.49966999999992</v>
      </c>
      <c r="O57" s="107">
        <f t="shared" si="37"/>
        <v>587.28779999999995</v>
      </c>
      <c r="P57" s="107">
        <f t="shared" si="37"/>
        <v>597.07592999999997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107">
        <f>IF(E$182=0,0,(SUMIFS(E$42:E$54,$A$42:$A$54,6117)+SUMIFS(E$42:E$54,$A$42:$A$54,6117))*$D58)</f>
        <v>503.72388000000001</v>
      </c>
      <c r="F58" s="107">
        <f t="shared" ref="F58:P58" si="38">IF(F$182=0,0,(SUMIFS(F$42:F$54,$A$42:$A$54,6117)+SUMIFS(F$42:F$54,$A$42:$A$54,6117))*$D58)</f>
        <v>513.79835759999992</v>
      </c>
      <c r="G58" s="107">
        <f t="shared" si="38"/>
        <v>523.87283519999994</v>
      </c>
      <c r="H58" s="107">
        <f t="shared" si="38"/>
        <v>533.94731279999996</v>
      </c>
      <c r="I58" s="107">
        <f t="shared" si="38"/>
        <v>544.02179039999999</v>
      </c>
      <c r="J58" s="107">
        <f t="shared" si="38"/>
        <v>554.09626800000001</v>
      </c>
      <c r="K58" s="107">
        <f t="shared" si="38"/>
        <v>564.17074560000003</v>
      </c>
      <c r="L58" s="107">
        <f t="shared" si="38"/>
        <v>574.24522320000005</v>
      </c>
      <c r="M58" s="107">
        <f t="shared" si="38"/>
        <v>584.31970079999996</v>
      </c>
      <c r="N58" s="107">
        <f t="shared" si="38"/>
        <v>594.39417839999999</v>
      </c>
      <c r="O58" s="107">
        <f t="shared" si="38"/>
        <v>604.46865600000001</v>
      </c>
      <c r="P58" s="107">
        <f t="shared" si="38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372</v>
      </c>
      <c r="F59" s="6">
        <f t="shared" ref="F59:P59" si="39">IF(F$182=0,0,SUMIFS(F$42:F$54,$A$42:$A$54,6127)*$D59)</f>
        <v>1138.32</v>
      </c>
      <c r="G59" s="6">
        <f t="shared" si="39"/>
        <v>1547.52</v>
      </c>
      <c r="H59" s="6">
        <f t="shared" si="39"/>
        <v>1577.28</v>
      </c>
      <c r="I59" s="6">
        <f t="shared" si="39"/>
        <v>1607.04</v>
      </c>
      <c r="J59" s="6">
        <f t="shared" si="39"/>
        <v>1636.8000000000002</v>
      </c>
      <c r="K59" s="6">
        <f t="shared" si="39"/>
        <v>1666.5600000000002</v>
      </c>
      <c r="L59" s="6">
        <f t="shared" si="39"/>
        <v>1696.3200000000002</v>
      </c>
      <c r="M59" s="6">
        <f t="shared" si="39"/>
        <v>1726.0799999999997</v>
      </c>
      <c r="N59" s="6">
        <f t="shared" si="39"/>
        <v>1755.84</v>
      </c>
      <c r="O59" s="6">
        <f t="shared" si="39"/>
        <v>1785.6</v>
      </c>
      <c r="P59" s="6">
        <f t="shared" si="39"/>
        <v>1815.36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IF(E$182=0,0,SUMIFS(E$42:E$54,$A$42:$A$54,$A42)*($D60*1+E6))</f>
        <v>0</v>
      </c>
      <c r="F60" s="6">
        <f t="shared" si="40"/>
        <v>0</v>
      </c>
      <c r="G60" s="6">
        <f t="shared" si="40"/>
        <v>4993.1629604999998</v>
      </c>
      <c r="H60" s="6">
        <f t="shared" si="40"/>
        <v>5089.1853251250004</v>
      </c>
      <c r="I60" s="6">
        <f t="shared" si="40"/>
        <v>5185.2076897500001</v>
      </c>
      <c r="J60" s="6">
        <f t="shared" si="40"/>
        <v>5281.2300543750007</v>
      </c>
      <c r="K60" s="6">
        <f t="shared" si="40"/>
        <v>5377.2524190000013</v>
      </c>
      <c r="L60" s="6">
        <f t="shared" si="40"/>
        <v>5473.274783625001</v>
      </c>
      <c r="M60" s="6">
        <f t="shared" si="40"/>
        <v>5569.2971482499997</v>
      </c>
      <c r="N60" s="6">
        <f t="shared" si="40"/>
        <v>11330.639025749999</v>
      </c>
      <c r="O60" s="6">
        <f t="shared" si="40"/>
        <v>11522.683755000002</v>
      </c>
      <c r="P60" s="6">
        <f t="shared" si="40"/>
        <v>11714.728484250001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IF(E$182=0,0,SUMIFS(E$42:E$54,$A$42:$A$54,$A43)*($D61*1+E6))</f>
        <v>0</v>
      </c>
      <c r="F61" s="6">
        <f t="shared" si="41"/>
        <v>0</v>
      </c>
      <c r="G61" s="6">
        <f t="shared" si="41"/>
        <v>0</v>
      </c>
      <c r="H61" s="6">
        <f t="shared" si="41"/>
        <v>0</v>
      </c>
      <c r="I61" s="6">
        <f t="shared" si="41"/>
        <v>0</v>
      </c>
      <c r="J61" s="6">
        <f t="shared" si="41"/>
        <v>0</v>
      </c>
      <c r="K61" s="6">
        <f t="shared" si="41"/>
        <v>0</v>
      </c>
      <c r="L61" s="6">
        <f t="shared" si="41"/>
        <v>0</v>
      </c>
      <c r="M61" s="6">
        <f t="shared" si="41"/>
        <v>0</v>
      </c>
      <c r="N61" s="6">
        <f t="shared" si="41"/>
        <v>0</v>
      </c>
      <c r="O61" s="6">
        <f t="shared" si="41"/>
        <v>0</v>
      </c>
      <c r="P61" s="6">
        <f t="shared" si="41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0</v>
      </c>
      <c r="F62" s="6">
        <f t="shared" ref="F62:P62" si="42">SUM(F60:F61)</f>
        <v>0</v>
      </c>
      <c r="G62" s="6">
        <f t="shared" si="42"/>
        <v>4993.1629604999998</v>
      </c>
      <c r="H62" s="6">
        <f t="shared" si="42"/>
        <v>5089.1853251250004</v>
      </c>
      <c r="I62" s="6">
        <f t="shared" si="42"/>
        <v>5185.2076897500001</v>
      </c>
      <c r="J62" s="6">
        <f t="shared" si="42"/>
        <v>5281.2300543750007</v>
      </c>
      <c r="K62" s="6">
        <f t="shared" si="42"/>
        <v>5377.2524190000013</v>
      </c>
      <c r="L62" s="6">
        <f t="shared" si="42"/>
        <v>5473.274783625001</v>
      </c>
      <c r="M62" s="6">
        <f t="shared" si="42"/>
        <v>5569.2971482499997</v>
      </c>
      <c r="N62" s="6">
        <f t="shared" si="42"/>
        <v>11330.639025749999</v>
      </c>
      <c r="O62" s="6">
        <f t="shared" si="42"/>
        <v>11522.683755000002</v>
      </c>
      <c r="P62" s="6">
        <f t="shared" si="42"/>
        <v>11714.728484250001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3">IF(E$182=0,0,SUMIFS(E$42:E$54,$A$42:$A$54,$A45)*($D63*1+E6))</f>
        <v>0</v>
      </c>
      <c r="F63" s="6">
        <f t="shared" si="43"/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5"/>
      <c r="D64" s="95">
        <v>0.28000000000000003</v>
      </c>
      <c r="E64" s="6">
        <f t="shared" ref="E64:P64" si="44">IF(E$182=0,0,SUMIFS(E$42:E$54,$A$42:$A$54,$A46)*($D64*1+E6))</f>
        <v>24915.24</v>
      </c>
      <c r="F64" s="6">
        <f t="shared" si="44"/>
        <v>26094.264750000006</v>
      </c>
      <c r="G64" s="6">
        <f t="shared" si="44"/>
        <v>26605.917000000005</v>
      </c>
      <c r="H64" s="6">
        <f t="shared" si="44"/>
        <v>27117.56925</v>
      </c>
      <c r="I64" s="6">
        <f t="shared" si="44"/>
        <v>27629.221500000003</v>
      </c>
      <c r="J64" s="6">
        <f t="shared" si="44"/>
        <v>28140.87375000001</v>
      </c>
      <c r="K64" s="6">
        <f t="shared" si="44"/>
        <v>28652.526000000009</v>
      </c>
      <c r="L64" s="6">
        <f t="shared" si="44"/>
        <v>29164.178250000004</v>
      </c>
      <c r="M64" s="6">
        <f t="shared" si="44"/>
        <v>29675.830500000004</v>
      </c>
      <c r="N64" s="6">
        <f t="shared" si="44"/>
        <v>30187.482750000003</v>
      </c>
      <c r="O64" s="6">
        <f t="shared" si="44"/>
        <v>30699.135000000006</v>
      </c>
      <c r="P64" s="6">
        <f t="shared" si="44"/>
        <v>31210.787250000005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5">SUM(E63:E64)</f>
        <v>24915.24</v>
      </c>
      <c r="F65" s="6">
        <f t="shared" si="45"/>
        <v>26094.264750000006</v>
      </c>
      <c r="G65" s="6">
        <f t="shared" si="45"/>
        <v>26605.917000000005</v>
      </c>
      <c r="H65" s="6">
        <f t="shared" si="45"/>
        <v>27117.56925</v>
      </c>
      <c r="I65" s="6">
        <f t="shared" si="45"/>
        <v>27629.221500000003</v>
      </c>
      <c r="J65" s="6">
        <f t="shared" si="45"/>
        <v>28140.87375000001</v>
      </c>
      <c r="K65" s="6">
        <f t="shared" si="45"/>
        <v>28652.526000000009</v>
      </c>
      <c r="L65" s="6">
        <f t="shared" si="45"/>
        <v>29164.178250000004</v>
      </c>
      <c r="M65" s="6">
        <f t="shared" si="45"/>
        <v>29675.830500000004</v>
      </c>
      <c r="N65" s="6">
        <f t="shared" si="45"/>
        <v>30187.482750000003</v>
      </c>
      <c r="O65" s="6">
        <f t="shared" si="45"/>
        <v>30699.135000000006</v>
      </c>
      <c r="P65" s="6">
        <f t="shared" si="45"/>
        <v>31210.787250000005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6">IF(E$182=0,0,SUMIFS(E$42:E$54,$A$42:$A$54,$A48)*($D66*1+E6))</f>
        <v>6639.9965999999995</v>
      </c>
      <c r="F66" s="6">
        <f t="shared" si="46"/>
        <v>7123.1135939999995</v>
      </c>
      <c r="G66" s="6">
        <f t="shared" si="46"/>
        <v>7262.7824879999998</v>
      </c>
      <c r="H66" s="6">
        <f t="shared" si="46"/>
        <v>7402.4513819999993</v>
      </c>
      <c r="I66" s="6">
        <f t="shared" si="46"/>
        <v>7542.1202760000006</v>
      </c>
      <c r="J66" s="6">
        <f t="shared" si="46"/>
        <v>7681.78917</v>
      </c>
      <c r="K66" s="6">
        <f t="shared" si="46"/>
        <v>7821.4580640000013</v>
      </c>
      <c r="L66" s="6">
        <f t="shared" si="46"/>
        <v>7961.1269580000007</v>
      </c>
      <c r="M66" s="6">
        <f t="shared" si="46"/>
        <v>8100.7958520000002</v>
      </c>
      <c r="N66" s="6">
        <f t="shared" si="46"/>
        <v>8240.4647459999996</v>
      </c>
      <c r="O66" s="6">
        <f t="shared" si="46"/>
        <v>8380.13364</v>
      </c>
      <c r="P66" s="6">
        <f t="shared" si="46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7">IF(E$182=0,0,SUMIFS(E$42:E$54,$A$42:$A$54,$A49)*($D67*1+E6))</f>
        <v>0</v>
      </c>
      <c r="F67" s="6">
        <f t="shared" si="47"/>
        <v>0</v>
      </c>
      <c r="G67" s="6">
        <f t="shared" si="47"/>
        <v>0</v>
      </c>
      <c r="H67" s="6">
        <f t="shared" si="47"/>
        <v>0</v>
      </c>
      <c r="I67" s="6">
        <f t="shared" si="47"/>
        <v>0</v>
      </c>
      <c r="J67" s="6">
        <f t="shared" si="47"/>
        <v>0</v>
      </c>
      <c r="K67" s="6">
        <f t="shared" si="47"/>
        <v>0</v>
      </c>
      <c r="L67" s="6">
        <f t="shared" si="47"/>
        <v>0</v>
      </c>
      <c r="M67" s="6">
        <f t="shared" si="47"/>
        <v>0</v>
      </c>
      <c r="N67" s="6">
        <f t="shared" si="47"/>
        <v>0</v>
      </c>
      <c r="O67" s="6">
        <f t="shared" si="47"/>
        <v>0</v>
      </c>
      <c r="P67" s="6">
        <f t="shared" si="47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6639.9965999999995</v>
      </c>
      <c r="F68" s="6">
        <f t="shared" ref="F68:P68" si="48">SUM(F66:F67)</f>
        <v>7123.1135939999995</v>
      </c>
      <c r="G68" s="6">
        <f t="shared" si="48"/>
        <v>7262.7824879999998</v>
      </c>
      <c r="H68" s="6">
        <f t="shared" si="48"/>
        <v>7402.4513819999993</v>
      </c>
      <c r="I68" s="6">
        <f t="shared" si="48"/>
        <v>7542.1202760000006</v>
      </c>
      <c r="J68" s="6">
        <f t="shared" si="48"/>
        <v>7681.78917</v>
      </c>
      <c r="K68" s="6">
        <f t="shared" si="48"/>
        <v>7821.4580640000013</v>
      </c>
      <c r="L68" s="6">
        <f t="shared" si="48"/>
        <v>7961.1269580000007</v>
      </c>
      <c r="M68" s="6">
        <f t="shared" si="48"/>
        <v>8100.7958520000002</v>
      </c>
      <c r="N68" s="6">
        <f t="shared" si="48"/>
        <v>8240.4647459999996</v>
      </c>
      <c r="O68" s="6">
        <f t="shared" si="48"/>
        <v>8380.13364</v>
      </c>
      <c r="P68" s="6">
        <f t="shared" si="48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0</v>
      </c>
      <c r="F69" s="6">
        <f t="shared" ref="F69:P69" si="49">IF(F$182=0,0,SUMIFS(F$42:F$54,$A$42:$A$54,$A44)*$D69)</f>
        <v>0</v>
      </c>
      <c r="G69" s="6">
        <f t="shared" si="49"/>
        <v>474.75975690000007</v>
      </c>
      <c r="H69" s="6">
        <f t="shared" si="49"/>
        <v>483.88975222500011</v>
      </c>
      <c r="I69" s="6">
        <f t="shared" si="49"/>
        <v>493.01974755000009</v>
      </c>
      <c r="J69" s="6">
        <f t="shared" si="49"/>
        <v>502.14974287500007</v>
      </c>
      <c r="K69" s="6">
        <f t="shared" si="49"/>
        <v>511.27973820000017</v>
      </c>
      <c r="L69" s="6">
        <f t="shared" si="49"/>
        <v>520.40973352500009</v>
      </c>
      <c r="M69" s="6">
        <f t="shared" si="49"/>
        <v>529.53972885000007</v>
      </c>
      <c r="N69" s="6">
        <f t="shared" si="49"/>
        <v>1077.3394483500001</v>
      </c>
      <c r="O69" s="6">
        <f t="shared" si="49"/>
        <v>1095.5994390000003</v>
      </c>
      <c r="P69" s="6">
        <f t="shared" si="49"/>
        <v>1113.8594296500003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1290.2535</v>
      </c>
      <c r="F70" s="6">
        <f t="shared" ref="F70:P70" si="50">IF(F$182=0,0,SUMIFS(F$42:F$54,$A$42:$A$54,$A47)*$D70)</f>
        <v>1316.0585700000001</v>
      </c>
      <c r="G70" s="6">
        <f t="shared" si="50"/>
        <v>1341.8636400000003</v>
      </c>
      <c r="H70" s="6">
        <f t="shared" si="50"/>
        <v>1367.6687099999999</v>
      </c>
      <c r="I70" s="6">
        <f t="shared" si="50"/>
        <v>1393.47378</v>
      </c>
      <c r="J70" s="6">
        <f t="shared" si="50"/>
        <v>1419.2788500000004</v>
      </c>
      <c r="K70" s="6">
        <f t="shared" si="50"/>
        <v>1445.0839200000005</v>
      </c>
      <c r="L70" s="6">
        <f t="shared" si="50"/>
        <v>1470.8889900000001</v>
      </c>
      <c r="M70" s="6">
        <f t="shared" si="50"/>
        <v>1496.69406</v>
      </c>
      <c r="N70" s="6">
        <f t="shared" si="50"/>
        <v>1522.4991300000002</v>
      </c>
      <c r="O70" s="6">
        <f t="shared" si="50"/>
        <v>1548.3042000000003</v>
      </c>
      <c r="P70" s="6">
        <f t="shared" si="50"/>
        <v>1574.1092700000002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750.99966000000006</v>
      </c>
      <c r="F71" s="6">
        <f t="shared" ref="F71:P71" si="51">IF(F$182=0,0,((SUMIFS(F$42:F$54,$A$42:$A$54,$A50))+(SUMIFS(F$42:F$54,$A$42:$A$54,$A51)))*$D71)</f>
        <v>943.49965320000001</v>
      </c>
      <c r="G71" s="6">
        <f t="shared" si="51"/>
        <v>1052.4796463999999</v>
      </c>
      <c r="H71" s="6">
        <f t="shared" si="51"/>
        <v>1072.7196395999999</v>
      </c>
      <c r="I71" s="6">
        <f t="shared" si="51"/>
        <v>1092.9596328</v>
      </c>
      <c r="J71" s="6">
        <f t="shared" si="51"/>
        <v>1113.1996260000001</v>
      </c>
      <c r="K71" s="6">
        <f t="shared" si="51"/>
        <v>1133.4396192000002</v>
      </c>
      <c r="L71" s="6">
        <f t="shared" si="51"/>
        <v>1153.6796124000002</v>
      </c>
      <c r="M71" s="6">
        <f t="shared" si="51"/>
        <v>1173.9196056000001</v>
      </c>
      <c r="N71" s="6">
        <f t="shared" si="51"/>
        <v>1194.1595987999999</v>
      </c>
      <c r="O71" s="6">
        <f t="shared" si="51"/>
        <v>1214.399592</v>
      </c>
      <c r="P71" s="6">
        <f t="shared" si="51"/>
        <v>1234.6395852000001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0</v>
      </c>
      <c r="F72" s="6">
        <f t="shared" ref="F72:P72" si="52">IF(F$182=0,0,SUMIFS(F$42:F$54,$A$42:$A$54,$A44)*$D72)</f>
        <v>0</v>
      </c>
      <c r="G72" s="6">
        <f t="shared" si="52"/>
        <v>327.42052200000001</v>
      </c>
      <c r="H72" s="6">
        <f t="shared" si="52"/>
        <v>333.71707050000003</v>
      </c>
      <c r="I72" s="6">
        <f t="shared" si="52"/>
        <v>340.01361900000006</v>
      </c>
      <c r="J72" s="6">
        <f t="shared" si="52"/>
        <v>346.31016750000003</v>
      </c>
      <c r="K72" s="6">
        <f t="shared" si="52"/>
        <v>352.60671600000012</v>
      </c>
      <c r="L72" s="6">
        <f t="shared" si="52"/>
        <v>358.90326450000009</v>
      </c>
      <c r="M72" s="6">
        <f t="shared" si="52"/>
        <v>365.19981300000001</v>
      </c>
      <c r="N72" s="6">
        <f t="shared" si="52"/>
        <v>742.99272299999996</v>
      </c>
      <c r="O72" s="6">
        <f t="shared" si="52"/>
        <v>755.58582000000013</v>
      </c>
      <c r="P72" s="6">
        <f t="shared" si="52"/>
        <v>768.17891700000007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889.83</v>
      </c>
      <c r="F73" s="6">
        <f t="shared" ref="F73:P73" si="53">IF(F$182=0,0,SUMIFS(F$42:F$54,$A$42:$A$54,$A47)*$D73)</f>
        <v>907.62660000000005</v>
      </c>
      <c r="G73" s="6">
        <f t="shared" si="53"/>
        <v>925.42320000000007</v>
      </c>
      <c r="H73" s="6">
        <f t="shared" si="53"/>
        <v>943.21979999999996</v>
      </c>
      <c r="I73" s="6">
        <f t="shared" si="53"/>
        <v>961.01639999999998</v>
      </c>
      <c r="J73" s="6">
        <f t="shared" si="53"/>
        <v>978.81300000000022</v>
      </c>
      <c r="K73" s="6">
        <f t="shared" si="53"/>
        <v>996.60960000000023</v>
      </c>
      <c r="L73" s="6">
        <f t="shared" si="53"/>
        <v>1014.4062000000001</v>
      </c>
      <c r="M73" s="6">
        <f t="shared" si="53"/>
        <v>1032.2028</v>
      </c>
      <c r="N73" s="6">
        <f t="shared" si="53"/>
        <v>1049.9994000000002</v>
      </c>
      <c r="O73" s="6">
        <f t="shared" si="53"/>
        <v>1067.796</v>
      </c>
      <c r="P73" s="6">
        <f t="shared" si="53"/>
        <v>1085.5926000000002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517.93079999999998</v>
      </c>
      <c r="F74" s="6">
        <f t="shared" ref="F74:P74" si="54">IF(F$182=0,0,((SUMIFS(F$42:F$54,$A$42:$A$54,$A50))+(SUMIFS(F$42:F$54,$A$42:$A$54,B51)))*$D74)</f>
        <v>467.08941599999997</v>
      </c>
      <c r="G74" s="6">
        <f t="shared" si="54"/>
        <v>476.24803200000002</v>
      </c>
      <c r="H74" s="6">
        <f t="shared" si="54"/>
        <v>485.40664800000002</v>
      </c>
      <c r="I74" s="6">
        <f t="shared" si="54"/>
        <v>494.56526400000001</v>
      </c>
      <c r="J74" s="6">
        <f t="shared" si="54"/>
        <v>503.72388000000001</v>
      </c>
      <c r="K74" s="6">
        <f t="shared" si="54"/>
        <v>512.88249600000006</v>
      </c>
      <c r="L74" s="6">
        <f t="shared" si="54"/>
        <v>522.04111200000011</v>
      </c>
      <c r="M74" s="6">
        <f t="shared" si="54"/>
        <v>531.19972800000005</v>
      </c>
      <c r="N74" s="6">
        <f t="shared" si="54"/>
        <v>540.35834399999999</v>
      </c>
      <c r="O74" s="6">
        <f t="shared" si="54"/>
        <v>549.51696000000004</v>
      </c>
      <c r="P74" s="6">
        <f t="shared" si="54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IF(E$182=0,0,SUMIFS(E$42:E$54,$A$42:$A$54,$A44)*$D75)</f>
        <v>0</v>
      </c>
      <c r="F75" s="6">
        <f t="shared" ref="F75:P75" si="55">IF(F$182=0,0,SUMIFS(F$42:F$54,$A$42:$A$54,$A44)*$D75)</f>
        <v>0</v>
      </c>
      <c r="G75" s="6">
        <f t="shared" si="55"/>
        <v>229.19436540000001</v>
      </c>
      <c r="H75" s="6">
        <f t="shared" si="55"/>
        <v>233.60194935000004</v>
      </c>
      <c r="I75" s="6">
        <f t="shared" si="55"/>
        <v>238.00953330000004</v>
      </c>
      <c r="J75" s="6">
        <f t="shared" si="55"/>
        <v>242.41711725000002</v>
      </c>
      <c r="K75" s="6">
        <f t="shared" si="55"/>
        <v>246.82470120000008</v>
      </c>
      <c r="L75" s="6">
        <f t="shared" si="55"/>
        <v>251.23228515000005</v>
      </c>
      <c r="M75" s="6">
        <f t="shared" si="55"/>
        <v>255.6398691</v>
      </c>
      <c r="N75" s="6">
        <f t="shared" si="55"/>
        <v>520.0949061</v>
      </c>
      <c r="O75" s="6">
        <f t="shared" si="55"/>
        <v>528.91007400000012</v>
      </c>
      <c r="P75" s="6">
        <f t="shared" si="55"/>
        <v>537.72524190000001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622.88099999999997</v>
      </c>
      <c r="F76" s="6">
        <f t="shared" ref="F76:P76" si="56">IF(F$182=0,0,SUMIFS(F$42:F$54,$A$42:$A$54,$A47)*$D76)</f>
        <v>635.33861999999999</v>
      </c>
      <c r="G76" s="6">
        <f t="shared" si="56"/>
        <v>647.79624000000001</v>
      </c>
      <c r="H76" s="6">
        <f t="shared" si="56"/>
        <v>660.25386000000003</v>
      </c>
      <c r="I76" s="6">
        <f t="shared" si="56"/>
        <v>672.71148000000005</v>
      </c>
      <c r="J76" s="6">
        <f t="shared" si="56"/>
        <v>685.16910000000018</v>
      </c>
      <c r="K76" s="6">
        <f t="shared" si="56"/>
        <v>697.6267200000002</v>
      </c>
      <c r="L76" s="6">
        <f t="shared" si="56"/>
        <v>710.08434000000011</v>
      </c>
      <c r="M76" s="6">
        <f t="shared" si="56"/>
        <v>722.54196000000002</v>
      </c>
      <c r="N76" s="6">
        <f t="shared" si="56"/>
        <v>734.99958000000004</v>
      </c>
      <c r="O76" s="6">
        <f t="shared" si="56"/>
        <v>747.45720000000006</v>
      </c>
      <c r="P76" s="6">
        <f t="shared" si="56"/>
        <v>759.91482000000008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362.55155999999999</v>
      </c>
      <c r="F77" s="6">
        <f t="shared" ref="F77:P77" si="57">IF(F$182=0,0,((SUMIFS(F$42:F$54,$A$42:$A$54,$A50))+(SUMIFS(F$42:F$54,$A$42:$A$54,$A51)))*$D77)</f>
        <v>455.4825912</v>
      </c>
      <c r="G77" s="6">
        <f t="shared" si="57"/>
        <v>508.09362239999996</v>
      </c>
      <c r="H77" s="6">
        <f t="shared" si="57"/>
        <v>517.8646536</v>
      </c>
      <c r="I77" s="6">
        <f t="shared" si="57"/>
        <v>527.63568480000004</v>
      </c>
      <c r="J77" s="6">
        <f t="shared" si="57"/>
        <v>537.40671600000007</v>
      </c>
      <c r="K77" s="6">
        <f t="shared" si="57"/>
        <v>547.17774720000011</v>
      </c>
      <c r="L77" s="6">
        <f t="shared" si="57"/>
        <v>556.94877840000015</v>
      </c>
      <c r="M77" s="6">
        <f t="shared" si="57"/>
        <v>566.71980960000008</v>
      </c>
      <c r="N77" s="6">
        <f t="shared" si="57"/>
        <v>576.4908408</v>
      </c>
      <c r="O77" s="6">
        <f t="shared" si="57"/>
        <v>586.26187200000004</v>
      </c>
      <c r="P77" s="6">
        <f t="shared" si="57"/>
        <v>596.03290319999996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IF(E$182=0,0,(E200*$D78*12)*(1+E9)+(E$182/E$184*CSO!E78))</f>
        <v>0</v>
      </c>
      <c r="F78" s="6">
        <f>IF(F$182=0,0,(F200*$D78*12)*(1+F9)+(F$182/F$184*CSO!F78))</f>
        <v>0</v>
      </c>
      <c r="G78" s="6">
        <f>IF(G$182=0,0,(G200*$D78*12)*(1+G9)+(G$182/G$184*CSO!G78))</f>
        <v>2268</v>
      </c>
      <c r="H78" s="6">
        <f>IF(H$182=0,0,(H200*$D78*12)*(1+H9)+(H$182/H$184*CSO!H78))</f>
        <v>2352</v>
      </c>
      <c r="I78" s="6">
        <f>IF(I$182=0,0,(I200*$D78*12)*(1+I9)+(I$182/I$184*CSO!I78))</f>
        <v>2436</v>
      </c>
      <c r="J78" s="6">
        <f>IF(J$182=0,0,(J200*$D78*12)*(1+J9)+(J$182/J$184*CSO!J78))</f>
        <v>2520</v>
      </c>
      <c r="K78" s="6">
        <f>IF(K$182=0,0,(K200*$D78*12)*(1+K9)+(K$182/K$184*CSO!K78))</f>
        <v>2604</v>
      </c>
      <c r="L78" s="6">
        <f>IF(L$182=0,0,(L200*$D78*12)*(1+L9)+(L$182/L$184*CSO!L78))</f>
        <v>2688</v>
      </c>
      <c r="M78" s="6">
        <f>IF(M$182=0,0,(M200*$D78*12)*(1+M9)+(M$182/M$184*CSO!M78))</f>
        <v>2772</v>
      </c>
      <c r="N78" s="6">
        <f>IF(N$182=0,0,(N200*$D78*12)*(1+N9)+(N$182/N$184*CSO!N78))</f>
        <v>5711.9999999999991</v>
      </c>
      <c r="O78" s="6">
        <f>IF(O$182=0,0,(O200*$D78*12)*(1+O9)+(O$182/O$184*CSO!O78))</f>
        <v>5880</v>
      </c>
      <c r="P78" s="6">
        <f>IF(P$182=0,0,(P200*$D78*12)*(1+P9)+(P$182/P$184*CSO!P78))</f>
        <v>6048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107">
        <f>IF(E$182=0,0,(E203*$D79*12)*(1+E9))</f>
        <v>4200</v>
      </c>
      <c r="F79" s="107">
        <f t="shared" ref="F79:P79" si="58">IF(F$182=0,0,(F203*$D79*12)*(1+F9))</f>
        <v>4368</v>
      </c>
      <c r="G79" s="107">
        <f t="shared" si="58"/>
        <v>4536</v>
      </c>
      <c r="H79" s="107">
        <f t="shared" si="58"/>
        <v>4704</v>
      </c>
      <c r="I79" s="107">
        <f t="shared" si="58"/>
        <v>4872</v>
      </c>
      <c r="J79" s="107">
        <f t="shared" si="58"/>
        <v>5040</v>
      </c>
      <c r="K79" s="107">
        <f t="shared" si="58"/>
        <v>5208</v>
      </c>
      <c r="L79" s="107">
        <f t="shared" si="58"/>
        <v>5376</v>
      </c>
      <c r="M79" s="107">
        <f t="shared" si="58"/>
        <v>5544</v>
      </c>
      <c r="N79" s="107">
        <f t="shared" si="58"/>
        <v>5711.9999999999991</v>
      </c>
      <c r="O79" s="107">
        <f t="shared" si="58"/>
        <v>5880</v>
      </c>
      <c r="P79" s="107">
        <f t="shared" si="58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107">
        <f>IF(E$182=0,0,(E204*$D80*12)*(1+E9))</f>
        <v>4200</v>
      </c>
      <c r="F80" s="107">
        <f t="shared" ref="F80:P80" si="59">IF(F$182=0,0,(F204*$D80*12)*(1+F9))</f>
        <v>4368</v>
      </c>
      <c r="G80" s="107">
        <f t="shared" si="59"/>
        <v>4536</v>
      </c>
      <c r="H80" s="107">
        <f t="shared" si="59"/>
        <v>4704</v>
      </c>
      <c r="I80" s="107">
        <f t="shared" si="59"/>
        <v>4872</v>
      </c>
      <c r="J80" s="107">
        <f t="shared" si="59"/>
        <v>5040</v>
      </c>
      <c r="K80" s="107">
        <f t="shared" si="59"/>
        <v>5208</v>
      </c>
      <c r="L80" s="107">
        <f t="shared" si="59"/>
        <v>5376</v>
      </c>
      <c r="M80" s="107">
        <f t="shared" si="59"/>
        <v>5544</v>
      </c>
      <c r="N80" s="107">
        <f t="shared" si="59"/>
        <v>5711.9999999999991</v>
      </c>
      <c r="O80" s="107">
        <f t="shared" si="59"/>
        <v>5880</v>
      </c>
      <c r="P80" s="107">
        <f t="shared" si="59"/>
        <v>6048</v>
      </c>
    </row>
    <row r="81" spans="1:23" s="2" customFormat="1" collapsed="1" x14ac:dyDescent="0.25">
      <c r="A81" s="62">
        <v>200</v>
      </c>
      <c r="B81" s="18" t="s">
        <v>106</v>
      </c>
      <c r="C81" s="18"/>
      <c r="E81" s="10">
        <f>SUM(E56:E80)-E68-E65-E62</f>
        <v>45754.813500000004</v>
      </c>
      <c r="F81" s="10">
        <f t="shared" ref="F81:P81" si="60">SUM(F56:F80)-F68-F65-F62</f>
        <v>48829.786781999996</v>
      </c>
      <c r="G81" s="10">
        <f t="shared" si="60"/>
        <v>58945.598355900023</v>
      </c>
      <c r="H81" s="10">
        <f t="shared" si="60"/>
        <v>60281.090631975036</v>
      </c>
      <c r="I81" s="10">
        <f t="shared" si="60"/>
        <v>61616.582908050019</v>
      </c>
      <c r="J81" s="10">
        <f t="shared" si="60"/>
        <v>62952.075184125031</v>
      </c>
      <c r="K81" s="10">
        <f t="shared" si="60"/>
        <v>64287.567460200014</v>
      </c>
      <c r="L81" s="10">
        <f t="shared" si="60"/>
        <v>65623.059736275027</v>
      </c>
      <c r="M81" s="10">
        <f t="shared" si="60"/>
        <v>66958.552012350017</v>
      </c>
      <c r="N81" s="10">
        <f t="shared" si="60"/>
        <v>78189.900338849999</v>
      </c>
      <c r="O81" s="10">
        <f t="shared" si="60"/>
        <v>79728.71220899999</v>
      </c>
      <c r="P81" s="10">
        <f t="shared" si="60"/>
        <v>81267.524079150025</v>
      </c>
    </row>
    <row r="82" spans="1:23" s="2" customFormat="1" x14ac:dyDescent="0.25">
      <c r="A82" s="2">
        <v>300</v>
      </c>
      <c r="B82" s="18" t="s">
        <v>484</v>
      </c>
      <c r="C82" s="297" t="s">
        <v>703</v>
      </c>
      <c r="D82" s="164">
        <v>0</v>
      </c>
      <c r="E82" s="154">
        <f>IF(E$182=0,0,$D82*350)</f>
        <v>0</v>
      </c>
      <c r="F82" s="154">
        <f t="shared" ref="F82:P82" si="61">IF(F$182=0,0,$D82*350)</f>
        <v>0</v>
      </c>
      <c r="G82" s="154">
        <f t="shared" si="61"/>
        <v>0</v>
      </c>
      <c r="H82" s="154">
        <f t="shared" si="61"/>
        <v>0</v>
      </c>
      <c r="I82" s="154">
        <f t="shared" si="61"/>
        <v>0</v>
      </c>
      <c r="J82" s="154">
        <f t="shared" si="61"/>
        <v>0</v>
      </c>
      <c r="K82" s="154">
        <f t="shared" si="61"/>
        <v>0</v>
      </c>
      <c r="L82" s="154">
        <f t="shared" si="61"/>
        <v>0</v>
      </c>
      <c r="M82" s="154">
        <f t="shared" si="61"/>
        <v>0</v>
      </c>
      <c r="N82" s="154">
        <f t="shared" si="61"/>
        <v>0</v>
      </c>
      <c r="O82" s="154">
        <f t="shared" si="61"/>
        <v>0</v>
      </c>
      <c r="P82" s="154">
        <f t="shared" si="61"/>
        <v>0</v>
      </c>
      <c r="W82" s="10"/>
    </row>
    <row r="83" spans="1:23" s="2" customFormat="1" x14ac:dyDescent="0.25">
      <c r="A83" s="2">
        <v>300</v>
      </c>
      <c r="B83" s="18" t="s">
        <v>755</v>
      </c>
      <c r="C83" s="2" t="s">
        <v>486</v>
      </c>
      <c r="D83" s="95">
        <f>CSO!D23</f>
        <v>0.3</v>
      </c>
      <c r="E83" s="10">
        <f>IF(E$182=0,0,($D83*E23))</f>
        <v>158287.5</v>
      </c>
      <c r="F83" s="10">
        <f t="shared" ref="F83:P83" si="62">IF(F$182=0,0,($D83*F23))</f>
        <v>221138.19</v>
      </c>
      <c r="G83" s="10">
        <f t="shared" si="62"/>
        <v>252176.51452500004</v>
      </c>
      <c r="H83" s="10">
        <f t="shared" si="62"/>
        <v>261591.20641375319</v>
      </c>
      <c r="I83" s="10">
        <f t="shared" si="62"/>
        <v>276103.290007659</v>
      </c>
      <c r="J83" s="10">
        <f t="shared" si="62"/>
        <v>292925.71962801204</v>
      </c>
      <c r="K83" s="10">
        <f t="shared" si="62"/>
        <v>309984.95488260745</v>
      </c>
      <c r="L83" s="10">
        <f t="shared" si="62"/>
        <v>327283.60159429262</v>
      </c>
      <c r="M83" s="10">
        <f t="shared" si="62"/>
        <v>346979.44317389687</v>
      </c>
      <c r="N83" s="10">
        <f t="shared" si="62"/>
        <v>366952.31267460558</v>
      </c>
      <c r="O83" s="10">
        <f t="shared" si="62"/>
        <v>387205.25762414635</v>
      </c>
      <c r="P83" s="10">
        <f t="shared" si="62"/>
        <v>409945.36300834408</v>
      </c>
    </row>
    <row r="84" spans="1:23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0">
        <f>IF(E$182=0,0,($D84*E23))</f>
        <v>7914.375</v>
      </c>
      <c r="F84" s="10">
        <f t="shared" ref="F84:P84" si="63">IF(F$182=0,0,($D84*F23))</f>
        <v>11056.9095</v>
      </c>
      <c r="G84" s="10">
        <f t="shared" si="63"/>
        <v>12608.825726250003</v>
      </c>
      <c r="H84" s="10">
        <f t="shared" si="63"/>
        <v>13079.560320687659</v>
      </c>
      <c r="I84" s="10">
        <f t="shared" si="63"/>
        <v>13805.164500382951</v>
      </c>
      <c r="J84" s="10">
        <f t="shared" si="63"/>
        <v>14646.285981400602</v>
      </c>
      <c r="K84" s="10">
        <f t="shared" si="63"/>
        <v>15499.247744130373</v>
      </c>
      <c r="L84" s="10">
        <f t="shared" si="63"/>
        <v>16364.180079714632</v>
      </c>
      <c r="M84" s="10">
        <f t="shared" si="63"/>
        <v>17348.972158694844</v>
      </c>
      <c r="N84" s="10">
        <f t="shared" si="63"/>
        <v>18347.615633730278</v>
      </c>
      <c r="O84" s="10">
        <f t="shared" si="63"/>
        <v>19360.26288120732</v>
      </c>
      <c r="P84" s="10">
        <f t="shared" si="63"/>
        <v>20497.268150417203</v>
      </c>
    </row>
    <row r="85" spans="1:23" s="2" customFormat="1" hidden="1" outlineLevel="1" x14ac:dyDescent="0.25">
      <c r="A85" s="62">
        <v>6300</v>
      </c>
      <c r="B85" s="18" t="s">
        <v>595</v>
      </c>
      <c r="C85" s="297" t="s">
        <v>584</v>
      </c>
      <c r="D85" s="164">
        <v>0</v>
      </c>
      <c r="E85" s="10">
        <f>IF(E$182=0,0,$D85*250)</f>
        <v>0</v>
      </c>
      <c r="F85" s="10">
        <f t="shared" ref="F85:P85" si="64">IF(F$182=0,0,$D85*250)</f>
        <v>0</v>
      </c>
      <c r="G85" s="10">
        <f t="shared" si="64"/>
        <v>0</v>
      </c>
      <c r="H85" s="10">
        <f t="shared" si="64"/>
        <v>0</v>
      </c>
      <c r="I85" s="10">
        <f t="shared" si="64"/>
        <v>0</v>
      </c>
      <c r="J85" s="10">
        <f t="shared" si="64"/>
        <v>0</v>
      </c>
      <c r="K85" s="10">
        <f t="shared" si="64"/>
        <v>0</v>
      </c>
      <c r="L85" s="10">
        <f t="shared" si="64"/>
        <v>0</v>
      </c>
      <c r="M85" s="10">
        <f t="shared" si="64"/>
        <v>0</v>
      </c>
      <c r="N85" s="10">
        <f t="shared" si="64"/>
        <v>0</v>
      </c>
      <c r="O85" s="10">
        <f t="shared" si="64"/>
        <v>0</v>
      </c>
      <c r="P85" s="10">
        <f t="shared" si="64"/>
        <v>0</v>
      </c>
    </row>
    <row r="86" spans="1:23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2</v>
      </c>
      <c r="E86" s="10">
        <f t="shared" ref="E86:P86" si="65">IF(E$182=0,0,ROUND(($D86*(1+E$5))*E$182,0))</f>
        <v>150</v>
      </c>
      <c r="F86" s="10">
        <f t="shared" si="65"/>
        <v>214</v>
      </c>
      <c r="G86" s="10">
        <f t="shared" si="65"/>
        <v>250</v>
      </c>
      <c r="H86" s="10">
        <f t="shared" si="65"/>
        <v>267</v>
      </c>
      <c r="I86" s="10">
        <f t="shared" si="65"/>
        <v>285</v>
      </c>
      <c r="J86" s="10">
        <f t="shared" si="65"/>
        <v>306</v>
      </c>
      <c r="K86" s="10">
        <f t="shared" si="65"/>
        <v>327</v>
      </c>
      <c r="L86" s="10">
        <f t="shared" si="65"/>
        <v>349</v>
      </c>
      <c r="M86" s="10">
        <f t="shared" si="65"/>
        <v>374</v>
      </c>
      <c r="N86" s="10">
        <f t="shared" si="65"/>
        <v>399</v>
      </c>
      <c r="O86" s="10">
        <f t="shared" si="65"/>
        <v>425</v>
      </c>
      <c r="P86" s="10">
        <f t="shared" si="65"/>
        <v>454</v>
      </c>
    </row>
    <row r="87" spans="1:23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50</v>
      </c>
      <c r="E87" s="10">
        <f>IF(E$182=0,0,$D87*10)</f>
        <v>500</v>
      </c>
      <c r="F87" s="10">
        <f t="shared" ref="F87:P87" si="66">IF(F$182=0,0,$D87*10)</f>
        <v>500</v>
      </c>
      <c r="G87" s="10">
        <f t="shared" si="66"/>
        <v>500</v>
      </c>
      <c r="H87" s="10">
        <f t="shared" si="66"/>
        <v>500</v>
      </c>
      <c r="I87" s="10">
        <f t="shared" si="66"/>
        <v>500</v>
      </c>
      <c r="J87" s="10">
        <f t="shared" si="66"/>
        <v>500</v>
      </c>
      <c r="K87" s="10">
        <f t="shared" si="66"/>
        <v>500</v>
      </c>
      <c r="L87" s="10">
        <f t="shared" si="66"/>
        <v>500</v>
      </c>
      <c r="M87" s="10">
        <f t="shared" si="66"/>
        <v>500</v>
      </c>
      <c r="N87" s="10">
        <f t="shared" si="66"/>
        <v>500</v>
      </c>
      <c r="O87" s="10">
        <f t="shared" si="66"/>
        <v>500</v>
      </c>
      <c r="P87" s="10">
        <f t="shared" si="66"/>
        <v>500</v>
      </c>
    </row>
    <row r="88" spans="1:23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5</v>
      </c>
      <c r="E88" s="10">
        <f>IF(E$182=0,0,$D88*25)</f>
        <v>125</v>
      </c>
      <c r="F88" s="10">
        <f t="shared" ref="F88:P88" si="67">IF(F$182=0,0,$D88*25)</f>
        <v>125</v>
      </c>
      <c r="G88" s="10">
        <f t="shared" si="67"/>
        <v>125</v>
      </c>
      <c r="H88" s="10">
        <f t="shared" si="67"/>
        <v>125</v>
      </c>
      <c r="I88" s="10">
        <f t="shared" si="67"/>
        <v>125</v>
      </c>
      <c r="J88" s="10">
        <f t="shared" si="67"/>
        <v>125</v>
      </c>
      <c r="K88" s="10">
        <f t="shared" si="67"/>
        <v>125</v>
      </c>
      <c r="L88" s="10">
        <f t="shared" si="67"/>
        <v>125</v>
      </c>
      <c r="M88" s="10">
        <f t="shared" si="67"/>
        <v>125</v>
      </c>
      <c r="N88" s="10">
        <f t="shared" si="67"/>
        <v>125</v>
      </c>
      <c r="O88" s="10">
        <f t="shared" si="67"/>
        <v>125</v>
      </c>
      <c r="P88" s="10">
        <f t="shared" si="67"/>
        <v>125</v>
      </c>
    </row>
    <row r="89" spans="1:23" s="2" customFormat="1" hidden="1" outlineLevel="1" x14ac:dyDescent="0.25">
      <c r="A89" s="62">
        <v>6300</v>
      </c>
      <c r="B89" s="18" t="s">
        <v>598</v>
      </c>
      <c r="C89" s="2" t="s">
        <v>599</v>
      </c>
      <c r="D89" s="164">
        <v>5</v>
      </c>
      <c r="E89" s="10">
        <f>IF(E$182=0,0,$D89*40)</f>
        <v>200</v>
      </c>
      <c r="F89" s="10">
        <f t="shared" ref="F89:P89" si="68">IF(F$182=0,0,$D89*40)</f>
        <v>200</v>
      </c>
      <c r="G89" s="10">
        <f t="shared" si="68"/>
        <v>200</v>
      </c>
      <c r="H89" s="10">
        <f t="shared" si="68"/>
        <v>200</v>
      </c>
      <c r="I89" s="10">
        <f t="shared" si="68"/>
        <v>200</v>
      </c>
      <c r="J89" s="10">
        <f t="shared" si="68"/>
        <v>200</v>
      </c>
      <c r="K89" s="10">
        <f t="shared" si="68"/>
        <v>200</v>
      </c>
      <c r="L89" s="10">
        <f t="shared" si="68"/>
        <v>200</v>
      </c>
      <c r="M89" s="10">
        <f t="shared" si="68"/>
        <v>200</v>
      </c>
      <c r="N89" s="10">
        <f t="shared" si="68"/>
        <v>200</v>
      </c>
      <c r="O89" s="10">
        <f t="shared" si="68"/>
        <v>200</v>
      </c>
      <c r="P89" s="10">
        <f t="shared" si="68"/>
        <v>200</v>
      </c>
    </row>
    <row r="90" spans="1:23" s="2" customFormat="1" hidden="1" outlineLevel="1" x14ac:dyDescent="0.25">
      <c r="A90" s="62">
        <v>6300</v>
      </c>
      <c r="B90" s="18" t="s">
        <v>600</v>
      </c>
      <c r="C90" s="2" t="s">
        <v>602</v>
      </c>
      <c r="D90" s="164">
        <v>20</v>
      </c>
      <c r="E90" s="10">
        <f>IF(E$182=0,0,$D90*55)</f>
        <v>1100</v>
      </c>
      <c r="F90" s="10">
        <f t="shared" ref="F90:P90" si="69">IF(F$182=0,0,$D90*55)</f>
        <v>1100</v>
      </c>
      <c r="G90" s="10">
        <f t="shared" si="69"/>
        <v>1100</v>
      </c>
      <c r="H90" s="10">
        <f t="shared" si="69"/>
        <v>1100</v>
      </c>
      <c r="I90" s="10">
        <f t="shared" si="69"/>
        <v>1100</v>
      </c>
      <c r="J90" s="10">
        <f t="shared" si="69"/>
        <v>1100</v>
      </c>
      <c r="K90" s="10">
        <f t="shared" si="69"/>
        <v>1100</v>
      </c>
      <c r="L90" s="10">
        <f t="shared" si="69"/>
        <v>1100</v>
      </c>
      <c r="M90" s="10">
        <f t="shared" si="69"/>
        <v>1100</v>
      </c>
      <c r="N90" s="10">
        <f t="shared" si="69"/>
        <v>1100</v>
      </c>
      <c r="O90" s="10">
        <f t="shared" si="69"/>
        <v>1100</v>
      </c>
      <c r="P90" s="10">
        <f t="shared" si="69"/>
        <v>1100</v>
      </c>
    </row>
    <row r="91" spans="1:23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10">
        <f>IF(E$182=0,0,$D91*50)</f>
        <v>0</v>
      </c>
      <c r="F91" s="10">
        <f t="shared" ref="F91:P91" si="70">IF(F$182=0,0,$D91*50)</f>
        <v>0</v>
      </c>
      <c r="G91" s="10">
        <f t="shared" si="70"/>
        <v>0</v>
      </c>
      <c r="H91" s="10">
        <f t="shared" si="70"/>
        <v>0</v>
      </c>
      <c r="I91" s="10">
        <f t="shared" si="70"/>
        <v>0</v>
      </c>
      <c r="J91" s="10">
        <f t="shared" si="70"/>
        <v>0</v>
      </c>
      <c r="K91" s="10">
        <f t="shared" si="70"/>
        <v>0</v>
      </c>
      <c r="L91" s="10">
        <f t="shared" si="70"/>
        <v>0</v>
      </c>
      <c r="M91" s="10">
        <f t="shared" si="70"/>
        <v>0</v>
      </c>
      <c r="N91" s="10">
        <f t="shared" si="70"/>
        <v>0</v>
      </c>
      <c r="O91" s="10">
        <f t="shared" si="70"/>
        <v>0</v>
      </c>
      <c r="P91" s="10">
        <f t="shared" si="70"/>
        <v>0</v>
      </c>
    </row>
    <row r="92" spans="1:23" s="2" customFormat="1" collapsed="1" x14ac:dyDescent="0.25">
      <c r="A92" s="2">
        <v>300</v>
      </c>
      <c r="B92" s="18" t="s">
        <v>430</v>
      </c>
      <c r="D92" s="162"/>
      <c r="E92" s="10">
        <f>SUM(E85:E91)</f>
        <v>2075</v>
      </c>
      <c r="F92" s="10">
        <f t="shared" ref="F92:P92" si="71">SUM(F85:F91)</f>
        <v>2139</v>
      </c>
      <c r="G92" s="10">
        <f t="shared" si="71"/>
        <v>2175</v>
      </c>
      <c r="H92" s="10">
        <f t="shared" si="71"/>
        <v>2192</v>
      </c>
      <c r="I92" s="10">
        <f t="shared" si="71"/>
        <v>2210</v>
      </c>
      <c r="J92" s="10">
        <f t="shared" si="71"/>
        <v>2231</v>
      </c>
      <c r="K92" s="10">
        <f t="shared" si="71"/>
        <v>2252</v>
      </c>
      <c r="L92" s="10">
        <f t="shared" si="71"/>
        <v>2274</v>
      </c>
      <c r="M92" s="10">
        <f t="shared" si="71"/>
        <v>2299</v>
      </c>
      <c r="N92" s="10">
        <f t="shared" si="71"/>
        <v>2324</v>
      </c>
      <c r="O92" s="10">
        <f t="shared" si="71"/>
        <v>2350</v>
      </c>
      <c r="P92" s="10">
        <f t="shared" si="71"/>
        <v>2379</v>
      </c>
    </row>
    <row r="93" spans="1:23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10">
        <f t="shared" ref="E93:P94" si="72">IF(E$182=0,0,($D93*(1+E$5)))</f>
        <v>0</v>
      </c>
      <c r="F93" s="10">
        <f t="shared" si="72"/>
        <v>0</v>
      </c>
      <c r="G93" s="10">
        <f t="shared" si="72"/>
        <v>0</v>
      </c>
      <c r="H93" s="10">
        <f t="shared" si="72"/>
        <v>0</v>
      </c>
      <c r="I93" s="10">
        <f t="shared" si="72"/>
        <v>0</v>
      </c>
      <c r="J93" s="10">
        <f t="shared" si="72"/>
        <v>0</v>
      </c>
      <c r="K93" s="10">
        <f t="shared" si="72"/>
        <v>0</v>
      </c>
      <c r="L93" s="10">
        <f t="shared" si="72"/>
        <v>0</v>
      </c>
      <c r="M93" s="10">
        <f t="shared" si="72"/>
        <v>0</v>
      </c>
      <c r="N93" s="10">
        <f t="shared" si="72"/>
        <v>0</v>
      </c>
      <c r="O93" s="10">
        <f t="shared" si="72"/>
        <v>0</v>
      </c>
      <c r="P93" s="10">
        <f t="shared" si="72"/>
        <v>0</v>
      </c>
    </row>
    <row r="94" spans="1:23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54">
        <f t="shared" si="72"/>
        <v>0</v>
      </c>
      <c r="F94" s="154">
        <f t="shared" si="72"/>
        <v>0</v>
      </c>
      <c r="G94" s="154">
        <f t="shared" si="72"/>
        <v>0</v>
      </c>
      <c r="H94" s="154">
        <f t="shared" si="72"/>
        <v>0</v>
      </c>
      <c r="I94" s="154">
        <f t="shared" si="72"/>
        <v>0</v>
      </c>
      <c r="J94" s="154">
        <f t="shared" si="72"/>
        <v>0</v>
      </c>
      <c r="K94" s="154">
        <f t="shared" si="72"/>
        <v>0</v>
      </c>
      <c r="L94" s="154">
        <f t="shared" si="72"/>
        <v>0</v>
      </c>
      <c r="M94" s="154">
        <f t="shared" si="72"/>
        <v>0</v>
      </c>
      <c r="N94" s="154">
        <f t="shared" si="72"/>
        <v>0</v>
      </c>
      <c r="O94" s="154">
        <f t="shared" si="72"/>
        <v>0</v>
      </c>
      <c r="P94" s="154">
        <f t="shared" si="72"/>
        <v>0</v>
      </c>
    </row>
    <row r="95" spans="1:23" s="2" customFormat="1" hidden="1" outlineLevel="2" x14ac:dyDescent="0.25">
      <c r="A95" s="62">
        <v>6320</v>
      </c>
      <c r="B95" s="18" t="s">
        <v>433</v>
      </c>
      <c r="C95" s="2" t="s">
        <v>732</v>
      </c>
      <c r="D95" s="96">
        <v>1000</v>
      </c>
      <c r="E95" s="11">
        <f>IF(E$182=0,0,($D95*(0.5*E185)))</f>
        <v>1000</v>
      </c>
      <c r="F95" s="11">
        <f t="shared" ref="F95:P95" si="73">IF(F$182=0,0,($D95*(0.5*F185)))</f>
        <v>1000</v>
      </c>
      <c r="G95" s="11">
        <f t="shared" si="73"/>
        <v>1000</v>
      </c>
      <c r="H95" s="11">
        <f t="shared" si="73"/>
        <v>1500</v>
      </c>
      <c r="I95" s="11">
        <f t="shared" si="73"/>
        <v>1500</v>
      </c>
      <c r="J95" s="11">
        <f t="shared" si="73"/>
        <v>1500</v>
      </c>
      <c r="K95" s="11">
        <f t="shared" si="73"/>
        <v>1500</v>
      </c>
      <c r="L95" s="11">
        <f t="shared" si="73"/>
        <v>1500</v>
      </c>
      <c r="M95" s="11">
        <f t="shared" si="73"/>
        <v>1500</v>
      </c>
      <c r="N95" s="11">
        <f t="shared" si="73"/>
        <v>1500</v>
      </c>
      <c r="O95" s="11">
        <f t="shared" si="73"/>
        <v>2000</v>
      </c>
      <c r="P95" s="11">
        <f t="shared" si="73"/>
        <v>2000</v>
      </c>
    </row>
    <row r="96" spans="1:23" s="2" customFormat="1" collapsed="1" x14ac:dyDescent="0.25">
      <c r="A96" s="2">
        <v>320</v>
      </c>
      <c r="B96" s="18" t="s">
        <v>434</v>
      </c>
      <c r="E96" s="10">
        <f>SUM(E93:E95)</f>
        <v>1000</v>
      </c>
      <c r="F96" s="10">
        <f t="shared" ref="F96:P96" si="74">SUM(F93:F95)</f>
        <v>1000</v>
      </c>
      <c r="G96" s="10">
        <f t="shared" si="74"/>
        <v>1000</v>
      </c>
      <c r="H96" s="10">
        <f t="shared" si="74"/>
        <v>1500</v>
      </c>
      <c r="I96" s="10">
        <f t="shared" si="74"/>
        <v>1500</v>
      </c>
      <c r="J96" s="10">
        <f t="shared" si="74"/>
        <v>1500</v>
      </c>
      <c r="K96" s="10">
        <f t="shared" si="74"/>
        <v>1500</v>
      </c>
      <c r="L96" s="10">
        <f t="shared" si="74"/>
        <v>1500</v>
      </c>
      <c r="M96" s="10">
        <f t="shared" si="74"/>
        <v>1500</v>
      </c>
      <c r="N96" s="10">
        <f t="shared" si="74"/>
        <v>1500</v>
      </c>
      <c r="O96" s="10">
        <f t="shared" si="74"/>
        <v>2000</v>
      </c>
      <c r="P96" s="10">
        <f t="shared" si="74"/>
        <v>2000</v>
      </c>
    </row>
    <row r="97" spans="1:16" s="2" customFormat="1" hidden="1" outlineLevel="2" x14ac:dyDescent="0.25">
      <c r="A97" s="62">
        <v>6331</v>
      </c>
      <c r="B97" s="18" t="s">
        <v>436</v>
      </c>
      <c r="C97" s="302" t="s">
        <v>630</v>
      </c>
      <c r="D97" s="96">
        <v>750</v>
      </c>
      <c r="E97" s="10">
        <f>IF(E$182=0,0,((SUMIFS(E$188:E$196,$A$188:$A$196,$A188)))*$D97)</f>
        <v>0</v>
      </c>
      <c r="F97" s="10">
        <f t="shared" ref="F97:P97" si="75">IF(F$182=0,0,((SUMIFS(F$188:F$196,$A$188:$A$196,$A188)))*$D97)</f>
        <v>0</v>
      </c>
      <c r="G97" s="10">
        <f t="shared" si="75"/>
        <v>375</v>
      </c>
      <c r="H97" s="10">
        <f t="shared" si="75"/>
        <v>375</v>
      </c>
      <c r="I97" s="10">
        <f t="shared" si="75"/>
        <v>375</v>
      </c>
      <c r="J97" s="10">
        <f t="shared" si="75"/>
        <v>375</v>
      </c>
      <c r="K97" s="10">
        <f t="shared" si="75"/>
        <v>375</v>
      </c>
      <c r="L97" s="10">
        <f t="shared" si="75"/>
        <v>375</v>
      </c>
      <c r="M97" s="10">
        <f t="shared" si="75"/>
        <v>375</v>
      </c>
      <c r="N97" s="10">
        <f t="shared" si="75"/>
        <v>750</v>
      </c>
      <c r="O97" s="10">
        <f t="shared" si="75"/>
        <v>750</v>
      </c>
      <c r="P97" s="10">
        <f t="shared" si="75"/>
        <v>750</v>
      </c>
    </row>
    <row r="98" spans="1:16" s="2" customFormat="1" hidden="1" outlineLevel="2" x14ac:dyDescent="0.25">
      <c r="A98" s="62">
        <v>6333</v>
      </c>
      <c r="B98" s="18" t="s">
        <v>437</v>
      </c>
      <c r="C98" s="302" t="s">
        <v>715</v>
      </c>
      <c r="D98" s="96">
        <v>1500</v>
      </c>
      <c r="E98" s="10">
        <f>IF(E$182=0,0,((SUMIFS(E$188:E$196,$A$188:$A$196,$A189)))*$D98)+20000</f>
        <v>21500</v>
      </c>
      <c r="F98" s="10">
        <f t="shared" ref="F98:P98" si="76">IF(F$182=0,0,((SUMIFS(F$188:F$196,$A$188:$A$196,$A189)))*$D98)</f>
        <v>1500</v>
      </c>
      <c r="G98" s="10">
        <f t="shared" si="76"/>
        <v>1500</v>
      </c>
      <c r="H98" s="10">
        <f t="shared" si="76"/>
        <v>1500</v>
      </c>
      <c r="I98" s="10">
        <f t="shared" si="76"/>
        <v>1500</v>
      </c>
      <c r="J98" s="10">
        <f t="shared" si="76"/>
        <v>1500</v>
      </c>
      <c r="K98" s="10">
        <f t="shared" si="76"/>
        <v>1500</v>
      </c>
      <c r="L98" s="10">
        <f t="shared" si="76"/>
        <v>1500</v>
      </c>
      <c r="M98" s="10">
        <f t="shared" si="76"/>
        <v>1500</v>
      </c>
      <c r="N98" s="10">
        <f t="shared" si="76"/>
        <v>1500</v>
      </c>
      <c r="O98" s="10">
        <f t="shared" si="76"/>
        <v>1500</v>
      </c>
      <c r="P98" s="10">
        <f t="shared" si="76"/>
        <v>1500</v>
      </c>
    </row>
    <row r="99" spans="1:16" s="2" customFormat="1" hidden="1" outlineLevel="2" x14ac:dyDescent="0.25">
      <c r="A99" s="62">
        <v>6336</v>
      </c>
      <c r="B99" s="18" t="s">
        <v>438</v>
      </c>
      <c r="C99" s="302" t="s">
        <v>631</v>
      </c>
      <c r="D99" s="96">
        <v>500</v>
      </c>
      <c r="E99" s="10">
        <f>IF(E$182=0,0,((SUMIFS(E$188:E$196,$A$188:$A$196,$A190)))*$D99)</f>
        <v>500</v>
      </c>
      <c r="F99" s="10">
        <f t="shared" ref="F99:P99" si="77">IF(F$182=0,0,((SUMIFS(F$188:F$196,$A$188:$A$196,$A190)))*$D99)</f>
        <v>500</v>
      </c>
      <c r="G99" s="10">
        <f t="shared" si="77"/>
        <v>500</v>
      </c>
      <c r="H99" s="10">
        <f t="shared" si="77"/>
        <v>500</v>
      </c>
      <c r="I99" s="10">
        <f t="shared" si="77"/>
        <v>500</v>
      </c>
      <c r="J99" s="10">
        <f t="shared" si="77"/>
        <v>500</v>
      </c>
      <c r="K99" s="10">
        <f t="shared" si="77"/>
        <v>500</v>
      </c>
      <c r="L99" s="10">
        <f t="shared" si="77"/>
        <v>500</v>
      </c>
      <c r="M99" s="10">
        <f t="shared" si="77"/>
        <v>500</v>
      </c>
      <c r="N99" s="10">
        <f t="shared" si="77"/>
        <v>500</v>
      </c>
      <c r="O99" s="10">
        <f t="shared" si="77"/>
        <v>500</v>
      </c>
      <c r="P99" s="10">
        <f t="shared" si="77"/>
        <v>500</v>
      </c>
    </row>
    <row r="100" spans="1:16" s="2" customFormat="1" hidden="1" outlineLevel="2" x14ac:dyDescent="0.25">
      <c r="A100" s="62">
        <v>6337</v>
      </c>
      <c r="B100" s="18" t="s">
        <v>439</v>
      </c>
      <c r="C100" s="302" t="s">
        <v>632</v>
      </c>
      <c r="D100" s="85">
        <v>125</v>
      </c>
      <c r="E100" s="10">
        <f>IF(E$182=0,0,((SUMIFS(E$188:E$196,$A$188:$A$196,$A191)))*$D100)</f>
        <v>125</v>
      </c>
      <c r="F100" s="10">
        <f t="shared" ref="F100:P100" si="78">IF(F$182=0,0,((SUMIFS(F$188:F$196,$A$188:$A$196,$A191)))*$D100)</f>
        <v>250</v>
      </c>
      <c r="G100" s="10">
        <f t="shared" si="78"/>
        <v>250</v>
      </c>
      <c r="H100" s="10">
        <f t="shared" si="78"/>
        <v>250</v>
      </c>
      <c r="I100" s="10">
        <f t="shared" si="78"/>
        <v>250</v>
      </c>
      <c r="J100" s="10">
        <f t="shared" si="78"/>
        <v>250</v>
      </c>
      <c r="K100" s="10">
        <f t="shared" si="78"/>
        <v>250</v>
      </c>
      <c r="L100" s="10">
        <f t="shared" si="78"/>
        <v>250</v>
      </c>
      <c r="M100" s="10">
        <f t="shared" si="78"/>
        <v>250</v>
      </c>
      <c r="N100" s="10">
        <f t="shared" si="78"/>
        <v>250</v>
      </c>
      <c r="O100" s="10">
        <f t="shared" si="78"/>
        <v>250</v>
      </c>
      <c r="P100" s="10">
        <f t="shared" si="78"/>
        <v>250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0">
        <f>SUM(E97:E100)</f>
        <v>22125</v>
      </c>
      <c r="F101" s="10">
        <f t="shared" ref="F101:P101" si="79">SUM(F97:F100)</f>
        <v>2250</v>
      </c>
      <c r="G101" s="10">
        <f t="shared" si="79"/>
        <v>2625</v>
      </c>
      <c r="H101" s="10">
        <f t="shared" si="79"/>
        <v>2625</v>
      </c>
      <c r="I101" s="10">
        <f t="shared" si="79"/>
        <v>2625</v>
      </c>
      <c r="J101" s="10">
        <f t="shared" si="79"/>
        <v>2625</v>
      </c>
      <c r="K101" s="10">
        <f t="shared" si="79"/>
        <v>2625</v>
      </c>
      <c r="L101" s="10">
        <f t="shared" si="79"/>
        <v>2625</v>
      </c>
      <c r="M101" s="10">
        <f t="shared" si="79"/>
        <v>2625</v>
      </c>
      <c r="N101" s="10">
        <f t="shared" si="79"/>
        <v>3000</v>
      </c>
      <c r="O101" s="10">
        <f t="shared" si="79"/>
        <v>3000</v>
      </c>
      <c r="P101" s="10">
        <f t="shared" si="79"/>
        <v>3000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54">
        <f t="shared" ref="E102:P105" si="80">IF(E$182=0,0,$D102)</f>
        <v>0</v>
      </c>
      <c r="F102" s="154">
        <f t="shared" si="80"/>
        <v>0</v>
      </c>
      <c r="G102" s="154">
        <f t="shared" si="80"/>
        <v>0</v>
      </c>
      <c r="H102" s="154">
        <f t="shared" si="80"/>
        <v>0</v>
      </c>
      <c r="I102" s="154">
        <f t="shared" si="80"/>
        <v>0</v>
      </c>
      <c r="J102" s="154">
        <f t="shared" si="80"/>
        <v>0</v>
      </c>
      <c r="K102" s="154">
        <f t="shared" si="80"/>
        <v>0</v>
      </c>
      <c r="L102" s="154">
        <f t="shared" si="80"/>
        <v>0</v>
      </c>
      <c r="M102" s="154">
        <f t="shared" si="80"/>
        <v>0</v>
      </c>
      <c r="N102" s="154">
        <f t="shared" si="80"/>
        <v>0</v>
      </c>
      <c r="O102" s="154">
        <f t="shared" si="80"/>
        <v>0</v>
      </c>
      <c r="P102" s="154">
        <f t="shared" si="80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0</v>
      </c>
      <c r="E103" s="154">
        <f t="shared" si="80"/>
        <v>0</v>
      </c>
      <c r="F103" s="154">
        <f t="shared" si="80"/>
        <v>0</v>
      </c>
      <c r="G103" s="154">
        <f t="shared" si="80"/>
        <v>0</v>
      </c>
      <c r="H103" s="154">
        <f t="shared" si="80"/>
        <v>0</v>
      </c>
      <c r="I103" s="154">
        <f t="shared" si="80"/>
        <v>0</v>
      </c>
      <c r="J103" s="154">
        <f t="shared" si="80"/>
        <v>0</v>
      </c>
      <c r="K103" s="154">
        <f t="shared" si="80"/>
        <v>0</v>
      </c>
      <c r="L103" s="154">
        <f t="shared" si="80"/>
        <v>0</v>
      </c>
      <c r="M103" s="154">
        <f t="shared" si="80"/>
        <v>0</v>
      </c>
      <c r="N103" s="154">
        <f t="shared" si="80"/>
        <v>0</v>
      </c>
      <c r="O103" s="154">
        <f t="shared" si="80"/>
        <v>0</v>
      </c>
      <c r="P103" s="154">
        <f t="shared" si="80"/>
        <v>0</v>
      </c>
    </row>
    <row r="104" spans="1:16" s="2" customFormat="1" x14ac:dyDescent="0.25">
      <c r="A104" s="2">
        <v>340</v>
      </c>
      <c r="B104" s="18" t="s">
        <v>489</v>
      </c>
      <c r="C104" s="297" t="s">
        <v>725</v>
      </c>
      <c r="D104" s="96">
        <v>9000</v>
      </c>
      <c r="E104" s="154">
        <f t="shared" si="80"/>
        <v>9000</v>
      </c>
      <c r="F104" s="154">
        <f t="shared" si="80"/>
        <v>9000</v>
      </c>
      <c r="G104" s="154">
        <f t="shared" si="80"/>
        <v>9000</v>
      </c>
      <c r="H104" s="154">
        <f t="shared" si="80"/>
        <v>9000</v>
      </c>
      <c r="I104" s="154">
        <f t="shared" si="80"/>
        <v>9000</v>
      </c>
      <c r="J104" s="154">
        <f t="shared" si="80"/>
        <v>9000</v>
      </c>
      <c r="K104" s="154">
        <f t="shared" si="80"/>
        <v>9000</v>
      </c>
      <c r="L104" s="154">
        <f t="shared" si="80"/>
        <v>9000</v>
      </c>
      <c r="M104" s="154">
        <f t="shared" si="80"/>
        <v>9000</v>
      </c>
      <c r="N104" s="154">
        <f t="shared" si="80"/>
        <v>9000</v>
      </c>
      <c r="O104" s="154">
        <f t="shared" si="80"/>
        <v>9000</v>
      </c>
      <c r="P104" s="154">
        <f t="shared" si="80"/>
        <v>9000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5000</v>
      </c>
      <c r="E105" s="154">
        <f t="shared" si="80"/>
        <v>5000</v>
      </c>
      <c r="F105" s="154">
        <f t="shared" si="80"/>
        <v>5000</v>
      </c>
      <c r="G105" s="154">
        <f t="shared" si="80"/>
        <v>5000</v>
      </c>
      <c r="H105" s="154">
        <f t="shared" si="80"/>
        <v>5000</v>
      </c>
      <c r="I105" s="154">
        <f t="shared" si="80"/>
        <v>5000</v>
      </c>
      <c r="J105" s="154">
        <f t="shared" si="80"/>
        <v>5000</v>
      </c>
      <c r="K105" s="154">
        <f t="shared" si="80"/>
        <v>5000</v>
      </c>
      <c r="L105" s="154">
        <f t="shared" si="80"/>
        <v>5000</v>
      </c>
      <c r="M105" s="154">
        <f t="shared" si="80"/>
        <v>5000</v>
      </c>
      <c r="N105" s="154">
        <f t="shared" si="80"/>
        <v>5000</v>
      </c>
      <c r="O105" s="154">
        <f t="shared" si="80"/>
        <v>5000</v>
      </c>
      <c r="P105" s="154">
        <f t="shared" si="80"/>
        <v>5000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714</v>
      </c>
      <c r="D106" s="96">
        <v>0</v>
      </c>
      <c r="E106" s="154">
        <f>IF(E$182=0,0,$D106)+6000</f>
        <v>6000</v>
      </c>
      <c r="F106" s="154">
        <f t="shared" ref="F106:P107" si="81">IF(F$182=0,0,$D106)</f>
        <v>0</v>
      </c>
      <c r="G106" s="154">
        <f t="shared" si="81"/>
        <v>0</v>
      </c>
      <c r="H106" s="154">
        <f t="shared" si="81"/>
        <v>0</v>
      </c>
      <c r="I106" s="154">
        <f t="shared" si="81"/>
        <v>0</v>
      </c>
      <c r="J106" s="154">
        <f t="shared" si="81"/>
        <v>0</v>
      </c>
      <c r="K106" s="154">
        <f t="shared" si="81"/>
        <v>0</v>
      </c>
      <c r="L106" s="154">
        <f t="shared" si="81"/>
        <v>0</v>
      </c>
      <c r="M106" s="154">
        <f t="shared" si="81"/>
        <v>0</v>
      </c>
      <c r="N106" s="154">
        <f t="shared" si="81"/>
        <v>0</v>
      </c>
      <c r="O106" s="154">
        <f t="shared" si="81"/>
        <v>0</v>
      </c>
      <c r="P106" s="154">
        <f t="shared" si="81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11">
        <f>IF(E$182=0,0,$D107)</f>
        <v>0</v>
      </c>
      <c r="F107" s="11">
        <f t="shared" si="81"/>
        <v>0</v>
      </c>
      <c r="G107" s="11">
        <f t="shared" si="81"/>
        <v>0</v>
      </c>
      <c r="H107" s="11">
        <f t="shared" si="81"/>
        <v>0</v>
      </c>
      <c r="I107" s="11">
        <f t="shared" si="81"/>
        <v>0</v>
      </c>
      <c r="J107" s="11">
        <f t="shared" si="81"/>
        <v>0</v>
      </c>
      <c r="K107" s="11">
        <f t="shared" si="81"/>
        <v>0</v>
      </c>
      <c r="L107" s="11">
        <f t="shared" si="81"/>
        <v>0</v>
      </c>
      <c r="M107" s="11">
        <f t="shared" si="81"/>
        <v>0</v>
      </c>
      <c r="N107" s="11">
        <f t="shared" si="81"/>
        <v>0</v>
      </c>
      <c r="O107" s="11">
        <f t="shared" si="81"/>
        <v>0</v>
      </c>
      <c r="P107" s="11">
        <f t="shared" si="81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0">
        <f>SUM(E106:E107)</f>
        <v>6000</v>
      </c>
      <c r="F108" s="10">
        <f t="shared" ref="F108:P108" si="82">SUM(F106:F107)</f>
        <v>0</v>
      </c>
      <c r="G108" s="10">
        <f t="shared" si="82"/>
        <v>0</v>
      </c>
      <c r="H108" s="10">
        <f t="shared" si="82"/>
        <v>0</v>
      </c>
      <c r="I108" s="10">
        <f t="shared" si="82"/>
        <v>0</v>
      </c>
      <c r="J108" s="10">
        <f t="shared" si="82"/>
        <v>0</v>
      </c>
      <c r="K108" s="10">
        <f t="shared" si="82"/>
        <v>0</v>
      </c>
      <c r="L108" s="10">
        <f t="shared" si="82"/>
        <v>0</v>
      </c>
      <c r="M108" s="10">
        <f t="shared" si="82"/>
        <v>0</v>
      </c>
      <c r="N108" s="10">
        <f t="shared" si="82"/>
        <v>0</v>
      </c>
      <c r="O108" s="10">
        <f t="shared" si="82"/>
        <v>0</v>
      </c>
      <c r="P108" s="10">
        <f t="shared" si="82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716</v>
      </c>
      <c r="D109" s="164">
        <v>0</v>
      </c>
      <c r="E109" s="154">
        <f>IF(E$182=0,0,($D109*100))+4000</f>
        <v>4000</v>
      </c>
      <c r="F109" s="154">
        <f t="shared" ref="F109:P109" si="83">IF(F$182=0,0,($D109*100))</f>
        <v>0</v>
      </c>
      <c r="G109" s="154">
        <f t="shared" si="83"/>
        <v>0</v>
      </c>
      <c r="H109" s="154">
        <f t="shared" si="83"/>
        <v>0</v>
      </c>
      <c r="I109" s="154">
        <f t="shared" si="83"/>
        <v>0</v>
      </c>
      <c r="J109" s="154">
        <f t="shared" si="83"/>
        <v>0</v>
      </c>
      <c r="K109" s="154">
        <f t="shared" si="83"/>
        <v>0</v>
      </c>
      <c r="L109" s="154">
        <f t="shared" si="83"/>
        <v>0</v>
      </c>
      <c r="M109" s="154">
        <f t="shared" si="83"/>
        <v>0</v>
      </c>
      <c r="N109" s="154">
        <f t="shared" si="83"/>
        <v>0</v>
      </c>
      <c r="O109" s="154">
        <f t="shared" si="83"/>
        <v>0</v>
      </c>
      <c r="P109" s="154">
        <f t="shared" si="83"/>
        <v>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717</v>
      </c>
      <c r="D111" s="199">
        <v>40</v>
      </c>
      <c r="E111" s="10">
        <f>ROUND((($D111*(1+E$11))*E$182*0.75),0)+4000</f>
        <v>6250</v>
      </c>
      <c r="F111" s="10">
        <f t="shared" ref="F111:P111" si="85">ROUND((($D111*(1+F$11))*F$182*0.75),0)</f>
        <v>3213</v>
      </c>
      <c r="G111" s="10">
        <f t="shared" si="85"/>
        <v>3744</v>
      </c>
      <c r="H111" s="10">
        <f t="shared" si="85"/>
        <v>4007</v>
      </c>
      <c r="I111" s="10">
        <f t="shared" si="85"/>
        <v>4277</v>
      </c>
      <c r="J111" s="10">
        <f t="shared" si="85"/>
        <v>4587</v>
      </c>
      <c r="K111" s="10">
        <f t="shared" si="85"/>
        <v>4906</v>
      </c>
      <c r="L111" s="10">
        <f t="shared" si="85"/>
        <v>5233</v>
      </c>
      <c r="M111" s="10">
        <f t="shared" si="85"/>
        <v>5603</v>
      </c>
      <c r="N111" s="10">
        <f t="shared" si="85"/>
        <v>5983</v>
      </c>
      <c r="O111" s="10">
        <f t="shared" si="85"/>
        <v>6372</v>
      </c>
      <c r="P111" s="10">
        <f t="shared" si="85"/>
        <v>6808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525</v>
      </c>
      <c r="F112" s="10">
        <f t="shared" ref="F112:P113" si="86">ROUND((($D112*(1+F$11))*F$182),0)</f>
        <v>750</v>
      </c>
      <c r="G112" s="10">
        <f t="shared" si="86"/>
        <v>874</v>
      </c>
      <c r="H112" s="10">
        <f t="shared" si="86"/>
        <v>935</v>
      </c>
      <c r="I112" s="10">
        <f t="shared" si="86"/>
        <v>998</v>
      </c>
      <c r="J112" s="10">
        <f t="shared" si="86"/>
        <v>1070</v>
      </c>
      <c r="K112" s="10">
        <f t="shared" si="86"/>
        <v>1145</v>
      </c>
      <c r="L112" s="10">
        <f t="shared" si="86"/>
        <v>1221</v>
      </c>
      <c r="M112" s="10">
        <f t="shared" si="86"/>
        <v>1307</v>
      </c>
      <c r="N112" s="10">
        <f t="shared" si="86"/>
        <v>1396</v>
      </c>
      <c r="O112" s="10">
        <f t="shared" si="86"/>
        <v>1487</v>
      </c>
      <c r="P112" s="10">
        <f t="shared" si="86"/>
        <v>1588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750</v>
      </c>
      <c r="F113" s="11">
        <f t="shared" si="86"/>
        <v>1071</v>
      </c>
      <c r="G113" s="11">
        <f t="shared" si="86"/>
        <v>1248</v>
      </c>
      <c r="H113" s="11">
        <f t="shared" si="86"/>
        <v>1336</v>
      </c>
      <c r="I113" s="11">
        <f t="shared" si="86"/>
        <v>1426</v>
      </c>
      <c r="J113" s="11">
        <f t="shared" si="86"/>
        <v>1529</v>
      </c>
      <c r="K113" s="11">
        <f t="shared" si="86"/>
        <v>1635</v>
      </c>
      <c r="L113" s="11">
        <f t="shared" si="86"/>
        <v>1744</v>
      </c>
      <c r="M113" s="11">
        <f t="shared" si="86"/>
        <v>1868</v>
      </c>
      <c r="N113" s="11">
        <f t="shared" si="86"/>
        <v>1994</v>
      </c>
      <c r="O113" s="11">
        <f t="shared" si="86"/>
        <v>2124</v>
      </c>
      <c r="P113" s="11">
        <f t="shared" si="86"/>
        <v>2269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0">
        <f>SUM(E110:E113)</f>
        <v>7525</v>
      </c>
      <c r="F114" s="10">
        <f t="shared" ref="F114:P114" si="87">SUM(F110:F113)</f>
        <v>5034</v>
      </c>
      <c r="G114" s="10">
        <f t="shared" si="87"/>
        <v>5866</v>
      </c>
      <c r="H114" s="10">
        <f t="shared" si="87"/>
        <v>6278</v>
      </c>
      <c r="I114" s="10">
        <f t="shared" si="87"/>
        <v>6701</v>
      </c>
      <c r="J114" s="10">
        <f t="shared" si="87"/>
        <v>7186</v>
      </c>
      <c r="K114" s="10">
        <f t="shared" si="87"/>
        <v>7686</v>
      </c>
      <c r="L114" s="10">
        <f t="shared" si="87"/>
        <v>8198</v>
      </c>
      <c r="M114" s="10">
        <f t="shared" si="87"/>
        <v>8778</v>
      </c>
      <c r="N114" s="10">
        <f t="shared" si="87"/>
        <v>9373</v>
      </c>
      <c r="O114" s="10">
        <f t="shared" si="87"/>
        <v>9983</v>
      </c>
      <c r="P114" s="10">
        <f t="shared" si="87"/>
        <v>10665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/>
      <c r="E115" s="10">
        <f t="shared" ref="E115:P115" si="88">IF(E$182=0,0,($D115*12)*(1+E$11))</f>
        <v>0</v>
      </c>
      <c r="F115" s="10">
        <f t="shared" si="88"/>
        <v>0</v>
      </c>
      <c r="G115" s="10">
        <f t="shared" si="88"/>
        <v>0</v>
      </c>
      <c r="H115" s="10">
        <f t="shared" si="88"/>
        <v>0</v>
      </c>
      <c r="I115" s="10">
        <f t="shared" si="88"/>
        <v>0</v>
      </c>
      <c r="J115" s="10">
        <f t="shared" si="88"/>
        <v>0</v>
      </c>
      <c r="K115" s="10">
        <f t="shared" si="88"/>
        <v>0</v>
      </c>
      <c r="L115" s="10">
        <f t="shared" si="88"/>
        <v>0</v>
      </c>
      <c r="M115" s="10">
        <f t="shared" si="88"/>
        <v>0</v>
      </c>
      <c r="N115" s="10">
        <f t="shared" si="88"/>
        <v>0</v>
      </c>
      <c r="O115" s="10">
        <f t="shared" si="88"/>
        <v>0</v>
      </c>
      <c r="P115" s="10">
        <f t="shared" si="88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350</v>
      </c>
      <c r="E116" s="10">
        <f>IF(E$182=0,0,$D116*12)</f>
        <v>4200</v>
      </c>
      <c r="F116" s="10">
        <f>IF(F$182=0,0,$D116*12)</f>
        <v>4200</v>
      </c>
      <c r="G116" s="10">
        <f>IF(G$182=0,0,$D116*12)</f>
        <v>4200</v>
      </c>
      <c r="H116" s="10">
        <f t="shared" ref="H116:P116" si="89">IF(H$182=0,0,$D116*12)</f>
        <v>4200</v>
      </c>
      <c r="I116" s="10">
        <f t="shared" si="89"/>
        <v>4200</v>
      </c>
      <c r="J116" s="10">
        <f t="shared" si="89"/>
        <v>4200</v>
      </c>
      <c r="K116" s="10">
        <f t="shared" si="89"/>
        <v>4200</v>
      </c>
      <c r="L116" s="10">
        <f t="shared" si="89"/>
        <v>4200</v>
      </c>
      <c r="M116" s="10">
        <f t="shared" si="89"/>
        <v>4200</v>
      </c>
      <c r="N116" s="10">
        <f t="shared" si="89"/>
        <v>4200</v>
      </c>
      <c r="O116" s="10">
        <f t="shared" si="89"/>
        <v>4200</v>
      </c>
      <c r="P116" s="10">
        <f t="shared" si="89"/>
        <v>4200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0</v>
      </c>
      <c r="E117" s="10">
        <f>IF(E$182=0,0,ROUND(($D117*12),0))</f>
        <v>0</v>
      </c>
      <c r="F117" s="10">
        <f t="shared" ref="F117:P117" si="90">IF(F$182=0,0,ROUND(($D117*12),0))</f>
        <v>0</v>
      </c>
      <c r="G117" s="10">
        <f t="shared" si="90"/>
        <v>0</v>
      </c>
      <c r="H117" s="10">
        <f t="shared" si="90"/>
        <v>0</v>
      </c>
      <c r="I117" s="10">
        <f t="shared" si="90"/>
        <v>0</v>
      </c>
      <c r="J117" s="10">
        <f t="shared" si="90"/>
        <v>0</v>
      </c>
      <c r="K117" s="10">
        <f t="shared" si="90"/>
        <v>0</v>
      </c>
      <c r="L117" s="10">
        <f t="shared" si="90"/>
        <v>0</v>
      </c>
      <c r="M117" s="10">
        <f t="shared" si="90"/>
        <v>0</v>
      </c>
      <c r="N117" s="10">
        <f t="shared" si="90"/>
        <v>0</v>
      </c>
      <c r="O117" s="10">
        <f t="shared" si="90"/>
        <v>0</v>
      </c>
      <c r="P117" s="10">
        <f t="shared" si="90"/>
        <v>0</v>
      </c>
    </row>
    <row r="118" spans="1:16" s="2" customFormat="1" collapsed="1" x14ac:dyDescent="0.25">
      <c r="A118" s="2">
        <v>400</v>
      </c>
      <c r="B118" s="18" t="s">
        <v>445</v>
      </c>
      <c r="E118" s="10">
        <f>SUM(E115:E117)</f>
        <v>4200</v>
      </c>
      <c r="F118" s="10">
        <f t="shared" ref="F118:G118" si="91">SUM(F115:F117)</f>
        <v>4200</v>
      </c>
      <c r="G118" s="10">
        <f t="shared" si="91"/>
        <v>4200</v>
      </c>
      <c r="H118" s="10">
        <f t="shared" ref="H118:P118" si="92">SUM(H115:H117)</f>
        <v>4200</v>
      </c>
      <c r="I118" s="10">
        <f t="shared" si="92"/>
        <v>4200</v>
      </c>
      <c r="J118" s="10">
        <f t="shared" si="92"/>
        <v>4200</v>
      </c>
      <c r="K118" s="10">
        <f t="shared" si="92"/>
        <v>4200</v>
      </c>
      <c r="L118" s="10">
        <f t="shared" si="92"/>
        <v>4200</v>
      </c>
      <c r="M118" s="10">
        <f t="shared" si="92"/>
        <v>4200</v>
      </c>
      <c r="N118" s="10">
        <f t="shared" si="92"/>
        <v>4200</v>
      </c>
      <c r="O118" s="10">
        <f t="shared" si="92"/>
        <v>4200</v>
      </c>
      <c r="P118" s="10">
        <f t="shared" si="92"/>
        <v>4200</v>
      </c>
    </row>
    <row r="119" spans="1:16" s="2" customFormat="1" x14ac:dyDescent="0.25">
      <c r="A119" s="2">
        <v>440</v>
      </c>
      <c r="B119" s="18" t="s">
        <v>464</v>
      </c>
      <c r="C119" s="2" t="s">
        <v>727</v>
      </c>
      <c r="D119" s="164"/>
      <c r="E119" s="10">
        <f>IF(E$182=0,0,E224)</f>
        <v>36000</v>
      </c>
      <c r="F119" s="10">
        <f t="shared" ref="F119:P119" si="93">IF(F$182=0,0,F224)</f>
        <v>37080</v>
      </c>
      <c r="G119" s="10">
        <f t="shared" si="93"/>
        <v>38192.399999999994</v>
      </c>
      <c r="H119" s="10">
        <f t="shared" si="93"/>
        <v>39338.171999999999</v>
      </c>
      <c r="I119" s="10">
        <f t="shared" si="93"/>
        <v>40518.317160000006</v>
      </c>
      <c r="J119" s="10">
        <f t="shared" si="93"/>
        <v>41733.866674800003</v>
      </c>
      <c r="K119" s="10">
        <f t="shared" si="93"/>
        <v>42985.882675044006</v>
      </c>
      <c r="L119" s="10">
        <f t="shared" si="93"/>
        <v>44275.459155295328</v>
      </c>
      <c r="M119" s="10">
        <f t="shared" si="93"/>
        <v>45603.722929954187</v>
      </c>
      <c r="N119" s="10">
        <f t="shared" si="93"/>
        <v>46971.834617852815</v>
      </c>
      <c r="O119" s="10">
        <f t="shared" si="93"/>
        <v>48380.989656388403</v>
      </c>
      <c r="P119" s="10">
        <f t="shared" si="93"/>
        <v>49832.419346080052</v>
      </c>
    </row>
    <row r="120" spans="1:16" s="2" customFormat="1" x14ac:dyDescent="0.25">
      <c r="A120" s="2">
        <v>440</v>
      </c>
      <c r="B120" s="18" t="s">
        <v>585</v>
      </c>
      <c r="C120" s="297" t="s">
        <v>589</v>
      </c>
      <c r="D120" s="85">
        <v>0</v>
      </c>
      <c r="E120" s="154">
        <f>IF(E$182=0,0,$D120)</f>
        <v>0</v>
      </c>
      <c r="F120" s="154">
        <f t="shared" ref="F120:P120" si="94">IF(F$182=0,0,$D120)</f>
        <v>0</v>
      </c>
      <c r="G120" s="154">
        <f t="shared" si="94"/>
        <v>0</v>
      </c>
      <c r="H120" s="154">
        <f t="shared" si="94"/>
        <v>0</v>
      </c>
      <c r="I120" s="154">
        <f t="shared" si="94"/>
        <v>0</v>
      </c>
      <c r="J120" s="154">
        <f t="shared" si="94"/>
        <v>0</v>
      </c>
      <c r="K120" s="154">
        <f t="shared" si="94"/>
        <v>0</v>
      </c>
      <c r="L120" s="154">
        <f t="shared" si="94"/>
        <v>0</v>
      </c>
      <c r="M120" s="154">
        <f t="shared" si="94"/>
        <v>0</v>
      </c>
      <c r="N120" s="154">
        <f t="shared" si="94"/>
        <v>0</v>
      </c>
      <c r="O120" s="154">
        <f t="shared" si="94"/>
        <v>0</v>
      </c>
      <c r="P120" s="154">
        <f t="shared" si="94"/>
        <v>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729</v>
      </c>
      <c r="D121" s="85">
        <v>0</v>
      </c>
      <c r="E121" s="10">
        <f>IF(E$182=0,0,$D121*12)+1000</f>
        <v>1000</v>
      </c>
      <c r="F121" s="10">
        <f t="shared" ref="F121:P121" si="95">IF(F$182=0,0,$D121*12)</f>
        <v>0</v>
      </c>
      <c r="G121" s="10">
        <f t="shared" si="95"/>
        <v>0</v>
      </c>
      <c r="H121" s="10">
        <f t="shared" si="95"/>
        <v>0</v>
      </c>
      <c r="I121" s="10">
        <f t="shared" si="95"/>
        <v>0</v>
      </c>
      <c r="J121" s="10">
        <f t="shared" si="95"/>
        <v>0</v>
      </c>
      <c r="K121" s="10">
        <f t="shared" si="95"/>
        <v>0</v>
      </c>
      <c r="L121" s="10">
        <f t="shared" si="95"/>
        <v>0</v>
      </c>
      <c r="M121" s="10">
        <f t="shared" si="95"/>
        <v>0</v>
      </c>
      <c r="N121" s="10">
        <f t="shared" si="95"/>
        <v>0</v>
      </c>
      <c r="O121" s="10">
        <f t="shared" si="95"/>
        <v>0</v>
      </c>
      <c r="P121" s="10">
        <f t="shared" si="95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54">
        <f>IF(E$182=0,0,($D122*(1+E$11)*12))</f>
        <v>600</v>
      </c>
      <c r="F122" s="154">
        <f t="shared" ref="F122:P122" si="96">IF(F$182=0,0,($D122*(1+F$11)*12))</f>
        <v>612</v>
      </c>
      <c r="G122" s="154">
        <f t="shared" si="96"/>
        <v>624</v>
      </c>
      <c r="H122" s="154">
        <f t="shared" si="96"/>
        <v>636</v>
      </c>
      <c r="I122" s="154">
        <f t="shared" si="96"/>
        <v>648</v>
      </c>
      <c r="J122" s="154">
        <f t="shared" si="96"/>
        <v>660.00000000000011</v>
      </c>
      <c r="K122" s="154">
        <f t="shared" si="96"/>
        <v>672.00000000000011</v>
      </c>
      <c r="L122" s="154">
        <f t="shared" si="96"/>
        <v>684.00000000000011</v>
      </c>
      <c r="M122" s="154">
        <f t="shared" si="96"/>
        <v>695.99999999999989</v>
      </c>
      <c r="N122" s="154">
        <f t="shared" si="96"/>
        <v>708</v>
      </c>
      <c r="O122" s="154">
        <f t="shared" si="96"/>
        <v>720</v>
      </c>
      <c r="P122" s="154">
        <f t="shared" si="96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54">
        <f>IF(E$182=0,0,($D123*12))</f>
        <v>0</v>
      </c>
      <c r="F123" s="154">
        <f t="shared" ref="F123:P123" si="97">IF(F$182=0,0,($D123*12))</f>
        <v>0</v>
      </c>
      <c r="G123" s="154">
        <f t="shared" si="97"/>
        <v>0</v>
      </c>
      <c r="H123" s="154">
        <f t="shared" si="97"/>
        <v>0</v>
      </c>
      <c r="I123" s="154">
        <f t="shared" si="97"/>
        <v>0</v>
      </c>
      <c r="J123" s="154">
        <f t="shared" si="97"/>
        <v>0</v>
      </c>
      <c r="K123" s="154">
        <f t="shared" si="97"/>
        <v>0</v>
      </c>
      <c r="L123" s="154">
        <f t="shared" si="97"/>
        <v>0</v>
      </c>
      <c r="M123" s="154">
        <f t="shared" si="97"/>
        <v>0</v>
      </c>
      <c r="N123" s="154">
        <f t="shared" si="97"/>
        <v>0</v>
      </c>
      <c r="O123" s="154">
        <f t="shared" si="97"/>
        <v>0</v>
      </c>
      <c r="P123" s="154">
        <f t="shared" si="97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0</v>
      </c>
      <c r="E124" s="154">
        <f t="shared" ref="E124:P125" si="98">IF(E$182=0,0,($D124*(1+E$11)*12))</f>
        <v>0</v>
      </c>
      <c r="F124" s="154">
        <f t="shared" si="98"/>
        <v>0</v>
      </c>
      <c r="G124" s="154">
        <f t="shared" si="98"/>
        <v>0</v>
      </c>
      <c r="H124" s="154">
        <f t="shared" si="98"/>
        <v>0</v>
      </c>
      <c r="I124" s="154">
        <f t="shared" si="98"/>
        <v>0</v>
      </c>
      <c r="J124" s="154">
        <f t="shared" si="98"/>
        <v>0</v>
      </c>
      <c r="K124" s="154">
        <f t="shared" si="98"/>
        <v>0</v>
      </c>
      <c r="L124" s="154">
        <f t="shared" si="98"/>
        <v>0</v>
      </c>
      <c r="M124" s="154">
        <f t="shared" si="98"/>
        <v>0</v>
      </c>
      <c r="N124" s="154">
        <f t="shared" si="98"/>
        <v>0</v>
      </c>
      <c r="O124" s="154">
        <f t="shared" si="98"/>
        <v>0</v>
      </c>
      <c r="P124" s="154">
        <f t="shared" si="98"/>
        <v>0</v>
      </c>
    </row>
    <row r="125" spans="1:16" s="2" customFormat="1" hidden="1" outlineLevel="1" x14ac:dyDescent="0.25">
      <c r="A125" s="2">
        <v>6535</v>
      </c>
      <c r="B125" s="74" t="s">
        <v>456</v>
      </c>
      <c r="C125" s="301" t="s">
        <v>605</v>
      </c>
      <c r="D125" s="85">
        <v>0</v>
      </c>
      <c r="E125" s="11">
        <f t="shared" si="98"/>
        <v>0</v>
      </c>
      <c r="F125" s="11">
        <f t="shared" si="98"/>
        <v>0</v>
      </c>
      <c r="G125" s="11">
        <f t="shared" si="98"/>
        <v>0</v>
      </c>
      <c r="H125" s="11">
        <f t="shared" si="98"/>
        <v>0</v>
      </c>
      <c r="I125" s="11">
        <f t="shared" si="98"/>
        <v>0</v>
      </c>
      <c r="J125" s="11">
        <f t="shared" si="98"/>
        <v>0</v>
      </c>
      <c r="K125" s="11">
        <f t="shared" si="98"/>
        <v>0</v>
      </c>
      <c r="L125" s="11">
        <f t="shared" si="98"/>
        <v>0</v>
      </c>
      <c r="M125" s="11">
        <f t="shared" si="98"/>
        <v>0</v>
      </c>
      <c r="N125" s="11">
        <f t="shared" si="98"/>
        <v>0</v>
      </c>
      <c r="O125" s="11">
        <f t="shared" si="98"/>
        <v>0</v>
      </c>
      <c r="P125" s="11">
        <f t="shared" si="98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0">
        <f>SUM(E121:E125)</f>
        <v>1600</v>
      </c>
      <c r="F126" s="10">
        <f t="shared" ref="F126:P126" si="99">SUM(F121:F125)</f>
        <v>612</v>
      </c>
      <c r="G126" s="10">
        <f t="shared" si="99"/>
        <v>624</v>
      </c>
      <c r="H126" s="10">
        <f t="shared" si="99"/>
        <v>636</v>
      </c>
      <c r="I126" s="10">
        <f t="shared" si="99"/>
        <v>648</v>
      </c>
      <c r="J126" s="10">
        <f t="shared" si="99"/>
        <v>660.00000000000011</v>
      </c>
      <c r="K126" s="10">
        <f t="shared" si="99"/>
        <v>672.00000000000011</v>
      </c>
      <c r="L126" s="10">
        <f t="shared" si="99"/>
        <v>684.00000000000011</v>
      </c>
      <c r="M126" s="10">
        <f t="shared" si="99"/>
        <v>695.99999999999989</v>
      </c>
      <c r="N126" s="10">
        <f t="shared" si="99"/>
        <v>708</v>
      </c>
      <c r="O126" s="10">
        <f t="shared" si="99"/>
        <v>720</v>
      </c>
      <c r="P126" s="10">
        <f t="shared" si="99"/>
        <v>732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0</v>
      </c>
      <c r="E127" s="10">
        <f t="shared" ref="E127:E132" si="100">ROUND(($D127*(1+E$11)*E$182),0)</f>
        <v>0</v>
      </c>
      <c r="F127" s="10">
        <f t="shared" ref="F127:P127" si="101">ROUND(($D127*(1+F$11)*F$182),0)</f>
        <v>0</v>
      </c>
      <c r="G127" s="10">
        <f t="shared" si="101"/>
        <v>0</v>
      </c>
      <c r="H127" s="10">
        <f t="shared" si="101"/>
        <v>0</v>
      </c>
      <c r="I127" s="10">
        <f t="shared" si="101"/>
        <v>0</v>
      </c>
      <c r="J127" s="10">
        <f t="shared" si="101"/>
        <v>0</v>
      </c>
      <c r="K127" s="10">
        <f t="shared" si="101"/>
        <v>0</v>
      </c>
      <c r="L127" s="10">
        <f t="shared" si="101"/>
        <v>0</v>
      </c>
      <c r="M127" s="10">
        <f t="shared" si="101"/>
        <v>0</v>
      </c>
      <c r="N127" s="10">
        <f t="shared" si="101"/>
        <v>0</v>
      </c>
      <c r="O127" s="10">
        <f t="shared" si="101"/>
        <v>0</v>
      </c>
      <c r="P127" s="10">
        <f t="shared" si="101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0">
        <f t="shared" si="100"/>
        <v>0</v>
      </c>
      <c r="F128" s="10">
        <f t="shared" ref="F128:P132" si="102">ROUND(($D128*(1+F$11)*F$182),0)</f>
        <v>0</v>
      </c>
      <c r="G128" s="10">
        <f t="shared" si="102"/>
        <v>0</v>
      </c>
      <c r="H128" s="10">
        <f t="shared" si="102"/>
        <v>0</v>
      </c>
      <c r="I128" s="10">
        <f t="shared" si="102"/>
        <v>0</v>
      </c>
      <c r="J128" s="10">
        <f t="shared" si="102"/>
        <v>0</v>
      </c>
      <c r="K128" s="10">
        <f t="shared" si="102"/>
        <v>0</v>
      </c>
      <c r="L128" s="10">
        <f t="shared" si="102"/>
        <v>0</v>
      </c>
      <c r="M128" s="10">
        <f t="shared" si="102"/>
        <v>0</v>
      </c>
      <c r="N128" s="10">
        <f t="shared" si="102"/>
        <v>0</v>
      </c>
      <c r="O128" s="10">
        <f t="shared" si="102"/>
        <v>0</v>
      </c>
      <c r="P128" s="10">
        <f t="shared" si="102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0">
        <f t="shared" si="100"/>
        <v>0</v>
      </c>
      <c r="F129" s="10">
        <f t="shared" si="102"/>
        <v>0</v>
      </c>
      <c r="G129" s="10">
        <f t="shared" si="102"/>
        <v>0</v>
      </c>
      <c r="H129" s="10">
        <f t="shared" si="102"/>
        <v>0</v>
      </c>
      <c r="I129" s="10">
        <f t="shared" si="102"/>
        <v>0</v>
      </c>
      <c r="J129" s="10">
        <f t="shared" si="102"/>
        <v>0</v>
      </c>
      <c r="K129" s="10">
        <f t="shared" si="102"/>
        <v>0</v>
      </c>
      <c r="L129" s="10">
        <f t="shared" si="102"/>
        <v>0</v>
      </c>
      <c r="M129" s="10">
        <f t="shared" si="102"/>
        <v>0</v>
      </c>
      <c r="N129" s="10">
        <f t="shared" si="102"/>
        <v>0</v>
      </c>
      <c r="O129" s="10">
        <f t="shared" si="102"/>
        <v>0</v>
      </c>
      <c r="P129" s="10">
        <f t="shared" si="102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0">
        <f t="shared" si="100"/>
        <v>0</v>
      </c>
      <c r="F130" s="10">
        <f t="shared" si="102"/>
        <v>0</v>
      </c>
      <c r="G130" s="10">
        <f t="shared" si="102"/>
        <v>0</v>
      </c>
      <c r="H130" s="10">
        <f t="shared" si="102"/>
        <v>0</v>
      </c>
      <c r="I130" s="10">
        <f t="shared" si="102"/>
        <v>0</v>
      </c>
      <c r="J130" s="10">
        <f t="shared" si="102"/>
        <v>0</v>
      </c>
      <c r="K130" s="10">
        <f t="shared" si="102"/>
        <v>0</v>
      </c>
      <c r="L130" s="10">
        <f t="shared" si="102"/>
        <v>0</v>
      </c>
      <c r="M130" s="10">
        <f t="shared" si="102"/>
        <v>0</v>
      </c>
      <c r="N130" s="10">
        <f t="shared" si="102"/>
        <v>0</v>
      </c>
      <c r="O130" s="10">
        <f t="shared" si="102"/>
        <v>0</v>
      </c>
      <c r="P130" s="10">
        <f t="shared" si="102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0">
        <f t="shared" si="100"/>
        <v>0</v>
      </c>
      <c r="F131" s="10">
        <f t="shared" si="102"/>
        <v>0</v>
      </c>
      <c r="G131" s="10">
        <f t="shared" si="102"/>
        <v>0</v>
      </c>
      <c r="H131" s="10">
        <f t="shared" si="102"/>
        <v>0</v>
      </c>
      <c r="I131" s="10">
        <f t="shared" si="102"/>
        <v>0</v>
      </c>
      <c r="J131" s="10">
        <f t="shared" si="102"/>
        <v>0</v>
      </c>
      <c r="K131" s="10">
        <f t="shared" si="102"/>
        <v>0</v>
      </c>
      <c r="L131" s="10">
        <f t="shared" si="102"/>
        <v>0</v>
      </c>
      <c r="M131" s="10">
        <f t="shared" si="102"/>
        <v>0</v>
      </c>
      <c r="N131" s="10">
        <f t="shared" si="102"/>
        <v>0</v>
      </c>
      <c r="O131" s="10">
        <f t="shared" si="102"/>
        <v>0</v>
      </c>
      <c r="P131" s="10">
        <f t="shared" si="102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100"/>
        <v>0</v>
      </c>
      <c r="F132" s="11">
        <f t="shared" si="102"/>
        <v>0</v>
      </c>
      <c r="G132" s="11">
        <f t="shared" si="102"/>
        <v>0</v>
      </c>
      <c r="H132" s="11">
        <f t="shared" si="102"/>
        <v>0</v>
      </c>
      <c r="I132" s="11">
        <f t="shared" si="102"/>
        <v>0</v>
      </c>
      <c r="J132" s="11">
        <f t="shared" si="102"/>
        <v>0</v>
      </c>
      <c r="K132" s="11">
        <f t="shared" si="102"/>
        <v>0</v>
      </c>
      <c r="L132" s="11">
        <f t="shared" si="102"/>
        <v>0</v>
      </c>
      <c r="M132" s="11">
        <f t="shared" si="102"/>
        <v>0</v>
      </c>
      <c r="N132" s="11">
        <f t="shared" si="102"/>
        <v>0</v>
      </c>
      <c r="O132" s="11">
        <f t="shared" si="102"/>
        <v>0</v>
      </c>
      <c r="P132" s="11">
        <f t="shared" si="102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0">
        <f>SUM(E127:E132)</f>
        <v>0</v>
      </c>
      <c r="F133" s="10">
        <f t="shared" ref="F133:P133" si="103">SUM(F127:F132)</f>
        <v>0</v>
      </c>
      <c r="G133" s="10">
        <f t="shared" si="103"/>
        <v>0</v>
      </c>
      <c r="H133" s="10">
        <f t="shared" si="103"/>
        <v>0</v>
      </c>
      <c r="I133" s="10">
        <f t="shared" si="103"/>
        <v>0</v>
      </c>
      <c r="J133" s="10">
        <f t="shared" si="103"/>
        <v>0</v>
      </c>
      <c r="K133" s="10">
        <f t="shared" si="103"/>
        <v>0</v>
      </c>
      <c r="L133" s="10">
        <f t="shared" si="103"/>
        <v>0</v>
      </c>
      <c r="M133" s="10">
        <f t="shared" si="103"/>
        <v>0</v>
      </c>
      <c r="N133" s="10">
        <f t="shared" si="103"/>
        <v>0</v>
      </c>
      <c r="O133" s="10">
        <f t="shared" si="103"/>
        <v>0</v>
      </c>
      <c r="P133" s="10">
        <f t="shared" si="103"/>
        <v>0</v>
      </c>
    </row>
    <row r="134" spans="1:16" s="2" customFormat="1" x14ac:dyDescent="0.25">
      <c r="A134" s="2">
        <v>540</v>
      </c>
      <c r="B134" s="18" t="s">
        <v>79</v>
      </c>
      <c r="C134" s="297" t="s">
        <v>719</v>
      </c>
      <c r="D134" s="164">
        <v>0</v>
      </c>
      <c r="E134" s="154">
        <f>IF(E$182=0,0,$D134)+32000</f>
        <v>32000</v>
      </c>
      <c r="F134" s="154">
        <f t="shared" ref="F134:P134" si="104">IF(F$182=0,0,$D134)</f>
        <v>0</v>
      </c>
      <c r="G134" s="154">
        <f t="shared" si="104"/>
        <v>0</v>
      </c>
      <c r="H134" s="154">
        <f t="shared" si="104"/>
        <v>0</v>
      </c>
      <c r="I134" s="154">
        <f t="shared" si="104"/>
        <v>0</v>
      </c>
      <c r="J134" s="154">
        <f t="shared" si="104"/>
        <v>0</v>
      </c>
      <c r="K134" s="154">
        <f t="shared" si="104"/>
        <v>0</v>
      </c>
      <c r="L134" s="154">
        <f t="shared" si="104"/>
        <v>0</v>
      </c>
      <c r="M134" s="154">
        <f t="shared" si="104"/>
        <v>0</v>
      </c>
      <c r="N134" s="154">
        <f t="shared" si="104"/>
        <v>0</v>
      </c>
      <c r="O134" s="154">
        <f t="shared" si="104"/>
        <v>0</v>
      </c>
      <c r="P134" s="154">
        <f t="shared" si="104"/>
        <v>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50</v>
      </c>
      <c r="E135" s="154">
        <f t="shared" ref="E135:P135" si="105">IF(E$182=0,0,ROUND(($D135*(1+E$11))*E$182,0))</f>
        <v>3750</v>
      </c>
      <c r="F135" s="154">
        <f t="shared" si="105"/>
        <v>5355</v>
      </c>
      <c r="G135" s="154">
        <f t="shared" si="105"/>
        <v>6240</v>
      </c>
      <c r="H135" s="154">
        <f t="shared" si="105"/>
        <v>6678</v>
      </c>
      <c r="I135" s="154">
        <f t="shared" si="105"/>
        <v>7128</v>
      </c>
      <c r="J135" s="154">
        <f t="shared" si="105"/>
        <v>7645</v>
      </c>
      <c r="K135" s="154">
        <f t="shared" si="105"/>
        <v>8176</v>
      </c>
      <c r="L135" s="154">
        <f t="shared" si="105"/>
        <v>8721</v>
      </c>
      <c r="M135" s="154">
        <f t="shared" si="105"/>
        <v>9338</v>
      </c>
      <c r="N135" s="154">
        <f t="shared" si="105"/>
        <v>9971</v>
      </c>
      <c r="O135" s="154">
        <f t="shared" si="105"/>
        <v>10620</v>
      </c>
      <c r="P135" s="154">
        <f t="shared" si="105"/>
        <v>11346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730</v>
      </c>
      <c r="D136" s="85">
        <v>875</v>
      </c>
      <c r="E136" s="154">
        <f>IF(E$182=0,0,ROUND(($D136*(1+E$11))*E$182,0))*0.75</f>
        <v>49218.75</v>
      </c>
      <c r="F136" s="154">
        <f t="shared" ref="F136:P137" si="106">IF(F$182=0,0,ROUND(($D136*(1+F$11))*F$182,0))*0.75</f>
        <v>70284.75</v>
      </c>
      <c r="G136" s="154">
        <f t="shared" si="106"/>
        <v>81900</v>
      </c>
      <c r="H136" s="154">
        <f t="shared" si="106"/>
        <v>87648.75</v>
      </c>
      <c r="I136" s="154">
        <f t="shared" si="106"/>
        <v>93555</v>
      </c>
      <c r="J136" s="154">
        <f t="shared" si="106"/>
        <v>100341</v>
      </c>
      <c r="K136" s="154">
        <f t="shared" si="106"/>
        <v>107310</v>
      </c>
      <c r="L136" s="154">
        <f t="shared" si="106"/>
        <v>114463.5</v>
      </c>
      <c r="M136" s="154">
        <f t="shared" si="106"/>
        <v>122561.25</v>
      </c>
      <c r="N136" s="154">
        <f t="shared" si="106"/>
        <v>130869.75</v>
      </c>
      <c r="O136" s="154">
        <f t="shared" si="106"/>
        <v>139387.5</v>
      </c>
      <c r="P136" s="154">
        <f t="shared" si="106"/>
        <v>148916.25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731</v>
      </c>
      <c r="D137" s="85">
        <v>1175</v>
      </c>
      <c r="E137" s="11">
        <f>IF(E$182=0,0,ROUND(($D137*(1+E$11))*E$182,0))*0.75</f>
        <v>66093.75</v>
      </c>
      <c r="F137" s="11">
        <f t="shared" si="106"/>
        <v>94382.25</v>
      </c>
      <c r="G137" s="11">
        <f t="shared" si="106"/>
        <v>109980</v>
      </c>
      <c r="H137" s="11">
        <f t="shared" si="106"/>
        <v>117699.75</v>
      </c>
      <c r="I137" s="11">
        <f t="shared" si="106"/>
        <v>125631</v>
      </c>
      <c r="J137" s="11">
        <f t="shared" si="106"/>
        <v>134743.5</v>
      </c>
      <c r="K137" s="11">
        <f t="shared" si="106"/>
        <v>144102</v>
      </c>
      <c r="L137" s="11">
        <f t="shared" si="106"/>
        <v>153708</v>
      </c>
      <c r="M137" s="11">
        <f t="shared" si="106"/>
        <v>164582.25</v>
      </c>
      <c r="N137" s="11">
        <f t="shared" si="106"/>
        <v>175739.25</v>
      </c>
      <c r="O137" s="11">
        <f t="shared" si="106"/>
        <v>187177.5</v>
      </c>
      <c r="P137" s="11">
        <f t="shared" si="106"/>
        <v>199973.25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0">
        <f>SUM(E135:E137)</f>
        <v>119062.5</v>
      </c>
      <c r="F138" s="10">
        <f t="shared" ref="F138:P138" si="107">SUM(F135:F137)</f>
        <v>170022</v>
      </c>
      <c r="G138" s="10">
        <f t="shared" si="107"/>
        <v>198120</v>
      </c>
      <c r="H138" s="10">
        <f t="shared" si="107"/>
        <v>212026.5</v>
      </c>
      <c r="I138" s="10">
        <f t="shared" si="107"/>
        <v>226314</v>
      </c>
      <c r="J138" s="10">
        <f t="shared" si="107"/>
        <v>242729.5</v>
      </c>
      <c r="K138" s="10">
        <f t="shared" si="107"/>
        <v>259588</v>
      </c>
      <c r="L138" s="10">
        <f t="shared" si="107"/>
        <v>276892.5</v>
      </c>
      <c r="M138" s="10">
        <f t="shared" si="107"/>
        <v>296481.5</v>
      </c>
      <c r="N138" s="10">
        <f t="shared" si="107"/>
        <v>316580</v>
      </c>
      <c r="O138" s="10">
        <f t="shared" si="107"/>
        <v>337185</v>
      </c>
      <c r="P138" s="10">
        <f t="shared" si="107"/>
        <v>360235.5</v>
      </c>
    </row>
    <row r="139" spans="1:16" s="2" customFormat="1" x14ac:dyDescent="0.25">
      <c r="A139" s="2">
        <v>580</v>
      </c>
      <c r="B139" s="18" t="s">
        <v>289</v>
      </c>
      <c r="C139" s="303" t="s">
        <v>627</v>
      </c>
      <c r="D139" s="85">
        <v>500</v>
      </c>
      <c r="E139" s="10">
        <f>IF(E$182=0,0,ROUND(($D139*(1+E$11))*(E$205-E$202),0))</f>
        <v>1000</v>
      </c>
      <c r="F139" s="10">
        <f t="shared" ref="F139:P139" si="108">IF(F$182=0,0,ROUND(($D139*(1+F$11))*(F$205-F$202),0))</f>
        <v>1020</v>
      </c>
      <c r="G139" s="10">
        <f t="shared" si="108"/>
        <v>1300</v>
      </c>
      <c r="H139" s="10">
        <f t="shared" si="108"/>
        <v>1325</v>
      </c>
      <c r="I139" s="10">
        <f t="shared" si="108"/>
        <v>1350</v>
      </c>
      <c r="J139" s="10">
        <f t="shared" si="108"/>
        <v>1375</v>
      </c>
      <c r="K139" s="10">
        <f t="shared" si="108"/>
        <v>1400</v>
      </c>
      <c r="L139" s="10">
        <f t="shared" si="108"/>
        <v>1425</v>
      </c>
      <c r="M139" s="10">
        <f t="shared" si="108"/>
        <v>1450</v>
      </c>
      <c r="N139" s="10">
        <f t="shared" si="108"/>
        <v>1770</v>
      </c>
      <c r="O139" s="10">
        <f t="shared" si="108"/>
        <v>1800</v>
      </c>
      <c r="P139" s="10">
        <f t="shared" si="108"/>
        <v>1830</v>
      </c>
    </row>
    <row r="140" spans="1:16" s="2" customFormat="1" x14ac:dyDescent="0.25">
      <c r="A140" s="2">
        <v>610</v>
      </c>
      <c r="B140" s="18" t="s">
        <v>465</v>
      </c>
      <c r="C140" s="303" t="s">
        <v>723</v>
      </c>
      <c r="D140" s="85">
        <v>75</v>
      </c>
      <c r="E140" s="10">
        <f>IF(E$182=0,0,ROUND(($D140*(1+E$11))*(E$205-E$202)*12,0))+55000</f>
        <v>56800</v>
      </c>
      <c r="F140" s="10">
        <f t="shared" ref="F140:P140" si="109">IF(F$182=0,0,ROUND(($D140*(1+F$11))*(F$205-F$202)*12,0))</f>
        <v>1836</v>
      </c>
      <c r="G140" s="10">
        <f t="shared" si="109"/>
        <v>2340</v>
      </c>
      <c r="H140" s="10">
        <f t="shared" si="109"/>
        <v>2385</v>
      </c>
      <c r="I140" s="10">
        <f t="shared" si="109"/>
        <v>2430</v>
      </c>
      <c r="J140" s="10">
        <f t="shared" si="109"/>
        <v>2475</v>
      </c>
      <c r="K140" s="10">
        <f t="shared" si="109"/>
        <v>2520</v>
      </c>
      <c r="L140" s="10">
        <f t="shared" si="109"/>
        <v>2565</v>
      </c>
      <c r="M140" s="10">
        <f t="shared" si="109"/>
        <v>2610</v>
      </c>
      <c r="N140" s="10">
        <f t="shared" si="109"/>
        <v>3186</v>
      </c>
      <c r="O140" s="10">
        <f t="shared" si="109"/>
        <v>3240</v>
      </c>
      <c r="P140" s="10">
        <f t="shared" si="109"/>
        <v>3294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350</v>
      </c>
      <c r="E141" s="10">
        <f t="shared" ref="E141:P141" si="110">IF(E$182=0,0,ROUND($D141*12*(1+E$11),0))</f>
        <v>4200</v>
      </c>
      <c r="F141" s="10">
        <f t="shared" si="110"/>
        <v>4284</v>
      </c>
      <c r="G141" s="10">
        <f t="shared" si="110"/>
        <v>4368</v>
      </c>
      <c r="H141" s="10">
        <f t="shared" si="110"/>
        <v>4452</v>
      </c>
      <c r="I141" s="10">
        <f t="shared" si="110"/>
        <v>4536</v>
      </c>
      <c r="J141" s="10">
        <f t="shared" si="110"/>
        <v>4620</v>
      </c>
      <c r="K141" s="10">
        <f t="shared" si="110"/>
        <v>4704</v>
      </c>
      <c r="L141" s="10">
        <f t="shared" si="110"/>
        <v>4788</v>
      </c>
      <c r="M141" s="10">
        <f t="shared" si="110"/>
        <v>4872</v>
      </c>
      <c r="N141" s="10">
        <f t="shared" si="110"/>
        <v>4956</v>
      </c>
      <c r="O141" s="10">
        <f t="shared" si="110"/>
        <v>5040</v>
      </c>
      <c r="P141" s="10">
        <f t="shared" si="110"/>
        <v>5124</v>
      </c>
    </row>
    <row r="142" spans="1:16" s="2" customFormat="1" hidden="1" outlineLevel="1" x14ac:dyDescent="0.25">
      <c r="A142" s="2">
        <v>641</v>
      </c>
      <c r="B142" s="18" t="s">
        <v>53</v>
      </c>
      <c r="C142" s="18" t="s">
        <v>720</v>
      </c>
      <c r="D142" s="85">
        <v>50</v>
      </c>
      <c r="E142" s="154">
        <f t="shared" ref="E142:P144" si="111">IF(E$182=0,0,ROUND(($D142*(1+E$11))*E$182,0))</f>
        <v>3750</v>
      </c>
      <c r="F142" s="154">
        <f t="shared" si="111"/>
        <v>5355</v>
      </c>
      <c r="G142" s="154">
        <f t="shared" si="111"/>
        <v>6240</v>
      </c>
      <c r="H142" s="154">
        <f t="shared" si="111"/>
        <v>6678</v>
      </c>
      <c r="I142" s="154">
        <f t="shared" si="111"/>
        <v>7128</v>
      </c>
      <c r="J142" s="154">
        <f t="shared" si="111"/>
        <v>7645</v>
      </c>
      <c r="K142" s="154">
        <f t="shared" si="111"/>
        <v>8176</v>
      </c>
      <c r="L142" s="154">
        <f t="shared" si="111"/>
        <v>8721</v>
      </c>
      <c r="M142" s="154">
        <f t="shared" si="111"/>
        <v>9338</v>
      </c>
      <c r="N142" s="154">
        <f t="shared" si="111"/>
        <v>9971</v>
      </c>
      <c r="O142" s="154">
        <f t="shared" si="111"/>
        <v>10620</v>
      </c>
      <c r="P142" s="154">
        <f t="shared" si="111"/>
        <v>11346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11"/>
        <v>2250</v>
      </c>
      <c r="F143" s="154">
        <f t="shared" si="111"/>
        <v>3213</v>
      </c>
      <c r="G143" s="154">
        <f t="shared" si="111"/>
        <v>3744</v>
      </c>
      <c r="H143" s="154">
        <f t="shared" si="111"/>
        <v>4007</v>
      </c>
      <c r="I143" s="154">
        <f t="shared" si="111"/>
        <v>4277</v>
      </c>
      <c r="J143" s="154">
        <f t="shared" si="111"/>
        <v>4587</v>
      </c>
      <c r="K143" s="154">
        <f t="shared" si="111"/>
        <v>4906</v>
      </c>
      <c r="L143" s="154">
        <f t="shared" si="111"/>
        <v>5233</v>
      </c>
      <c r="M143" s="154">
        <f t="shared" si="111"/>
        <v>5603</v>
      </c>
      <c r="N143" s="154">
        <f t="shared" si="111"/>
        <v>5983</v>
      </c>
      <c r="O143" s="154">
        <f t="shared" si="111"/>
        <v>6372</v>
      </c>
      <c r="P143" s="154">
        <f t="shared" si="111"/>
        <v>6808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11"/>
        <v>3000</v>
      </c>
      <c r="F144" s="11">
        <f t="shared" si="111"/>
        <v>4284</v>
      </c>
      <c r="G144" s="11">
        <f t="shared" si="111"/>
        <v>4992</v>
      </c>
      <c r="H144" s="11">
        <f t="shared" si="111"/>
        <v>5342</v>
      </c>
      <c r="I144" s="11">
        <f t="shared" si="111"/>
        <v>5702</v>
      </c>
      <c r="J144" s="11">
        <f t="shared" si="111"/>
        <v>6116</v>
      </c>
      <c r="K144" s="11">
        <f t="shared" si="111"/>
        <v>6541</v>
      </c>
      <c r="L144" s="11">
        <f t="shared" si="111"/>
        <v>6977</v>
      </c>
      <c r="M144" s="11">
        <f t="shared" si="111"/>
        <v>7470</v>
      </c>
      <c r="N144" s="11">
        <f t="shared" si="111"/>
        <v>7977</v>
      </c>
      <c r="O144" s="11">
        <f t="shared" si="111"/>
        <v>8496</v>
      </c>
      <c r="P144" s="11">
        <f t="shared" si="111"/>
        <v>9077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0">
        <f>SUM(E142:E144)</f>
        <v>9000</v>
      </c>
      <c r="F145" s="10">
        <f t="shared" ref="F145:P145" si="112">SUM(F142:F144)</f>
        <v>12852</v>
      </c>
      <c r="G145" s="10">
        <f t="shared" si="112"/>
        <v>14976</v>
      </c>
      <c r="H145" s="10">
        <f t="shared" si="112"/>
        <v>16027</v>
      </c>
      <c r="I145" s="10">
        <f t="shared" si="112"/>
        <v>17107</v>
      </c>
      <c r="J145" s="10">
        <f t="shared" si="112"/>
        <v>18348</v>
      </c>
      <c r="K145" s="10">
        <f t="shared" si="112"/>
        <v>19623</v>
      </c>
      <c r="L145" s="10">
        <f t="shared" si="112"/>
        <v>20931</v>
      </c>
      <c r="M145" s="10">
        <f t="shared" si="112"/>
        <v>22411</v>
      </c>
      <c r="N145" s="10">
        <f t="shared" si="112"/>
        <v>23931</v>
      </c>
      <c r="O145" s="10">
        <f t="shared" si="112"/>
        <v>25488</v>
      </c>
      <c r="P145" s="10">
        <f t="shared" si="112"/>
        <v>27231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0">
        <f t="shared" ref="E146:P147" si="113">IF(E$182=0,0,ROUND(($D146*E$182)*(1+E$11),0))</f>
        <v>7500</v>
      </c>
      <c r="F146" s="10">
        <f t="shared" si="113"/>
        <v>10710</v>
      </c>
      <c r="G146" s="10">
        <f t="shared" si="113"/>
        <v>12480</v>
      </c>
      <c r="H146" s="10">
        <f t="shared" si="113"/>
        <v>13356</v>
      </c>
      <c r="I146" s="10">
        <f t="shared" si="113"/>
        <v>14256</v>
      </c>
      <c r="J146" s="10">
        <f t="shared" si="113"/>
        <v>15290</v>
      </c>
      <c r="K146" s="10">
        <f t="shared" si="113"/>
        <v>16352</v>
      </c>
      <c r="L146" s="10">
        <f t="shared" si="113"/>
        <v>17442</v>
      </c>
      <c r="M146" s="10">
        <f t="shared" si="113"/>
        <v>18676</v>
      </c>
      <c r="N146" s="10">
        <f t="shared" si="113"/>
        <v>19942</v>
      </c>
      <c r="O146" s="10">
        <f t="shared" si="113"/>
        <v>21240</v>
      </c>
      <c r="P146" s="10">
        <f t="shared" si="113"/>
        <v>22692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3"/>
        <v>8625</v>
      </c>
      <c r="F147" s="11">
        <f t="shared" si="113"/>
        <v>12317</v>
      </c>
      <c r="G147" s="11">
        <f t="shared" si="113"/>
        <v>14352</v>
      </c>
      <c r="H147" s="11">
        <f t="shared" si="113"/>
        <v>15359</v>
      </c>
      <c r="I147" s="11">
        <f t="shared" si="113"/>
        <v>16394</v>
      </c>
      <c r="J147" s="11">
        <f t="shared" si="113"/>
        <v>17584</v>
      </c>
      <c r="K147" s="11">
        <f t="shared" si="113"/>
        <v>18805</v>
      </c>
      <c r="L147" s="11">
        <f t="shared" si="113"/>
        <v>20058</v>
      </c>
      <c r="M147" s="11">
        <f t="shared" si="113"/>
        <v>21477</v>
      </c>
      <c r="N147" s="11">
        <f t="shared" si="113"/>
        <v>22933</v>
      </c>
      <c r="O147" s="11">
        <f t="shared" si="113"/>
        <v>24426</v>
      </c>
      <c r="P147" s="11">
        <f t="shared" si="113"/>
        <v>26096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0">
        <f>SUM(E146:E147)</f>
        <v>16125</v>
      </c>
      <c r="F148" s="10">
        <f t="shared" ref="F148:P148" si="114">SUM(F146:F147)</f>
        <v>23027</v>
      </c>
      <c r="G148" s="10">
        <f t="shared" si="114"/>
        <v>26832</v>
      </c>
      <c r="H148" s="10">
        <f t="shared" si="114"/>
        <v>28715</v>
      </c>
      <c r="I148" s="10">
        <f t="shared" si="114"/>
        <v>30650</v>
      </c>
      <c r="J148" s="10">
        <f t="shared" si="114"/>
        <v>32874</v>
      </c>
      <c r="K148" s="10">
        <f t="shared" si="114"/>
        <v>35157</v>
      </c>
      <c r="L148" s="10">
        <f t="shared" si="114"/>
        <v>37500</v>
      </c>
      <c r="M148" s="10">
        <f t="shared" si="114"/>
        <v>40153</v>
      </c>
      <c r="N148" s="10">
        <f t="shared" si="114"/>
        <v>42875</v>
      </c>
      <c r="O148" s="10">
        <f t="shared" si="114"/>
        <v>45666</v>
      </c>
      <c r="P148" s="10">
        <f t="shared" si="114"/>
        <v>48788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54">
        <f>IF(E$182=0,0,($D149*12))</f>
        <v>0</v>
      </c>
      <c r="F149" s="154">
        <f t="shared" ref="F149:P151" si="115">IF(F$182=0,0,($D149*12))</f>
        <v>0</v>
      </c>
      <c r="G149" s="154">
        <f t="shared" si="115"/>
        <v>0</v>
      </c>
      <c r="H149" s="154">
        <f t="shared" si="115"/>
        <v>0</v>
      </c>
      <c r="I149" s="154">
        <f t="shared" si="115"/>
        <v>0</v>
      </c>
      <c r="J149" s="154">
        <f t="shared" si="115"/>
        <v>0</v>
      </c>
      <c r="K149" s="154">
        <f t="shared" si="115"/>
        <v>0</v>
      </c>
      <c r="L149" s="154">
        <f t="shared" si="115"/>
        <v>0</v>
      </c>
      <c r="M149" s="154">
        <f t="shared" si="115"/>
        <v>0</v>
      </c>
      <c r="N149" s="154">
        <f t="shared" si="115"/>
        <v>0</v>
      </c>
      <c r="O149" s="154">
        <f t="shared" si="115"/>
        <v>0</v>
      </c>
      <c r="P149" s="154">
        <f t="shared" si="115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54">
        <f>IF(E$182=0,0,($D150*12))</f>
        <v>0</v>
      </c>
      <c r="F150" s="154">
        <f t="shared" si="115"/>
        <v>0</v>
      </c>
      <c r="G150" s="154">
        <f t="shared" si="115"/>
        <v>0</v>
      </c>
      <c r="H150" s="154">
        <f t="shared" si="115"/>
        <v>0</v>
      </c>
      <c r="I150" s="154">
        <f t="shared" si="115"/>
        <v>0</v>
      </c>
      <c r="J150" s="154">
        <f t="shared" si="115"/>
        <v>0</v>
      </c>
      <c r="K150" s="154">
        <f t="shared" si="115"/>
        <v>0</v>
      </c>
      <c r="L150" s="154">
        <f t="shared" si="115"/>
        <v>0</v>
      </c>
      <c r="M150" s="154">
        <f t="shared" si="115"/>
        <v>0</v>
      </c>
      <c r="N150" s="154">
        <f t="shared" si="115"/>
        <v>0</v>
      </c>
      <c r="O150" s="154">
        <f t="shared" si="115"/>
        <v>0</v>
      </c>
      <c r="P150" s="154">
        <f t="shared" si="115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54">
        <f>IF(E$182=0,0,($D151*12))</f>
        <v>0</v>
      </c>
      <c r="F151" s="154">
        <f t="shared" si="115"/>
        <v>0</v>
      </c>
      <c r="G151" s="154">
        <f t="shared" si="115"/>
        <v>0</v>
      </c>
      <c r="H151" s="154">
        <f t="shared" si="115"/>
        <v>0</v>
      </c>
      <c r="I151" s="154">
        <f t="shared" si="115"/>
        <v>0</v>
      </c>
      <c r="J151" s="154">
        <f t="shared" si="115"/>
        <v>0</v>
      </c>
      <c r="K151" s="154">
        <f t="shared" si="115"/>
        <v>0</v>
      </c>
      <c r="L151" s="154">
        <f t="shared" si="115"/>
        <v>0</v>
      </c>
      <c r="M151" s="154">
        <f t="shared" si="115"/>
        <v>0</v>
      </c>
      <c r="N151" s="154">
        <f t="shared" si="115"/>
        <v>0</v>
      </c>
      <c r="O151" s="154">
        <f t="shared" si="115"/>
        <v>0</v>
      </c>
      <c r="P151" s="154">
        <f t="shared" si="115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54">
        <f t="shared" ref="E152:E159" si="116">IF(E$182=0,0,$D152)</f>
        <v>0</v>
      </c>
      <c r="F152" s="154">
        <f t="shared" ref="F152:P159" si="117">IF(F$182=0,0,$D152)</f>
        <v>0</v>
      </c>
      <c r="G152" s="154">
        <f t="shared" si="117"/>
        <v>0</v>
      </c>
      <c r="H152" s="154">
        <f t="shared" si="117"/>
        <v>0</v>
      </c>
      <c r="I152" s="154">
        <f t="shared" si="117"/>
        <v>0</v>
      </c>
      <c r="J152" s="154">
        <f t="shared" si="117"/>
        <v>0</v>
      </c>
      <c r="K152" s="154">
        <f t="shared" si="117"/>
        <v>0</v>
      </c>
      <c r="L152" s="154">
        <f t="shared" si="117"/>
        <v>0</v>
      </c>
      <c r="M152" s="154">
        <f t="shared" si="117"/>
        <v>0</v>
      </c>
      <c r="N152" s="154">
        <f t="shared" si="117"/>
        <v>0</v>
      </c>
      <c r="O152" s="154">
        <f t="shared" si="117"/>
        <v>0</v>
      </c>
      <c r="P152" s="154">
        <f t="shared" si="117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54">
        <f t="shared" si="116"/>
        <v>0</v>
      </c>
      <c r="F153" s="154">
        <f t="shared" si="117"/>
        <v>0</v>
      </c>
      <c r="G153" s="154">
        <f t="shared" si="117"/>
        <v>0</v>
      </c>
      <c r="H153" s="154">
        <f t="shared" si="117"/>
        <v>0</v>
      </c>
      <c r="I153" s="154">
        <f t="shared" si="117"/>
        <v>0</v>
      </c>
      <c r="J153" s="154">
        <f t="shared" si="117"/>
        <v>0</v>
      </c>
      <c r="K153" s="154">
        <f t="shared" si="117"/>
        <v>0</v>
      </c>
      <c r="L153" s="154">
        <f t="shared" si="117"/>
        <v>0</v>
      </c>
      <c r="M153" s="154">
        <f t="shared" si="117"/>
        <v>0</v>
      </c>
      <c r="N153" s="154">
        <f t="shared" si="117"/>
        <v>0</v>
      </c>
      <c r="O153" s="154">
        <f t="shared" si="117"/>
        <v>0</v>
      </c>
      <c r="P153" s="154">
        <f t="shared" si="117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54">
        <f t="shared" si="116"/>
        <v>0</v>
      </c>
      <c r="F154" s="154">
        <f t="shared" si="117"/>
        <v>0</v>
      </c>
      <c r="G154" s="154">
        <f t="shared" si="117"/>
        <v>0</v>
      </c>
      <c r="H154" s="154">
        <f t="shared" si="117"/>
        <v>0</v>
      </c>
      <c r="I154" s="154">
        <f t="shared" si="117"/>
        <v>0</v>
      </c>
      <c r="J154" s="154">
        <f t="shared" si="117"/>
        <v>0</v>
      </c>
      <c r="K154" s="154">
        <f t="shared" si="117"/>
        <v>0</v>
      </c>
      <c r="L154" s="154">
        <f t="shared" si="117"/>
        <v>0</v>
      </c>
      <c r="M154" s="154">
        <f t="shared" si="117"/>
        <v>0</v>
      </c>
      <c r="N154" s="154">
        <f t="shared" si="117"/>
        <v>0</v>
      </c>
      <c r="O154" s="154">
        <f t="shared" si="117"/>
        <v>0</v>
      </c>
      <c r="P154" s="154">
        <f t="shared" si="117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54">
        <f t="shared" si="116"/>
        <v>0</v>
      </c>
      <c r="F155" s="154">
        <f t="shared" si="117"/>
        <v>0</v>
      </c>
      <c r="G155" s="154">
        <f t="shared" si="117"/>
        <v>0</v>
      </c>
      <c r="H155" s="154">
        <f t="shared" si="117"/>
        <v>0</v>
      </c>
      <c r="I155" s="154">
        <f t="shared" si="117"/>
        <v>0</v>
      </c>
      <c r="J155" s="154">
        <f t="shared" si="117"/>
        <v>0</v>
      </c>
      <c r="K155" s="154">
        <f t="shared" si="117"/>
        <v>0</v>
      </c>
      <c r="L155" s="154">
        <f t="shared" si="117"/>
        <v>0</v>
      </c>
      <c r="M155" s="154">
        <f t="shared" si="117"/>
        <v>0</v>
      </c>
      <c r="N155" s="154">
        <f t="shared" si="117"/>
        <v>0</v>
      </c>
      <c r="O155" s="154">
        <f t="shared" si="117"/>
        <v>0</v>
      </c>
      <c r="P155" s="154">
        <f t="shared" si="117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54">
        <f t="shared" si="116"/>
        <v>0</v>
      </c>
      <c r="F156" s="154">
        <f t="shared" si="117"/>
        <v>0</v>
      </c>
      <c r="G156" s="154">
        <f t="shared" si="117"/>
        <v>0</v>
      </c>
      <c r="H156" s="154">
        <f t="shared" si="117"/>
        <v>0</v>
      </c>
      <c r="I156" s="154">
        <f t="shared" si="117"/>
        <v>0</v>
      </c>
      <c r="J156" s="154">
        <f t="shared" si="117"/>
        <v>0</v>
      </c>
      <c r="K156" s="154">
        <f t="shared" si="117"/>
        <v>0</v>
      </c>
      <c r="L156" s="154">
        <f t="shared" si="117"/>
        <v>0</v>
      </c>
      <c r="M156" s="154">
        <f t="shared" si="117"/>
        <v>0</v>
      </c>
      <c r="N156" s="154">
        <f t="shared" si="117"/>
        <v>0</v>
      </c>
      <c r="O156" s="154">
        <f t="shared" si="117"/>
        <v>0</v>
      </c>
      <c r="P156" s="154">
        <f t="shared" si="117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728</v>
      </c>
      <c r="D157" s="85">
        <v>0</v>
      </c>
      <c r="E157" s="154">
        <f>IF(E$182=0,0,$D157)+9000</f>
        <v>9000</v>
      </c>
      <c r="F157" s="154">
        <f t="shared" si="117"/>
        <v>0</v>
      </c>
      <c r="G157" s="154">
        <f t="shared" si="117"/>
        <v>0</v>
      </c>
      <c r="H157" s="154">
        <f t="shared" si="117"/>
        <v>0</v>
      </c>
      <c r="I157" s="154">
        <f t="shared" si="117"/>
        <v>0</v>
      </c>
      <c r="J157" s="154">
        <f t="shared" si="117"/>
        <v>0</v>
      </c>
      <c r="K157" s="154">
        <f t="shared" si="117"/>
        <v>0</v>
      </c>
      <c r="L157" s="154">
        <f t="shared" si="117"/>
        <v>0</v>
      </c>
      <c r="M157" s="154">
        <f t="shared" si="117"/>
        <v>0</v>
      </c>
      <c r="N157" s="154">
        <f t="shared" si="117"/>
        <v>0</v>
      </c>
      <c r="O157" s="154">
        <f t="shared" si="117"/>
        <v>0</v>
      </c>
      <c r="P157" s="154">
        <f t="shared" si="117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722</v>
      </c>
      <c r="D158" s="85">
        <v>0</v>
      </c>
      <c r="E158" s="154">
        <f>IF(E$182=0,0,$D158)+3000</f>
        <v>3000</v>
      </c>
      <c r="F158" s="154">
        <f t="shared" si="117"/>
        <v>0</v>
      </c>
      <c r="G158" s="154">
        <f t="shared" si="117"/>
        <v>0</v>
      </c>
      <c r="H158" s="154">
        <f t="shared" si="117"/>
        <v>0</v>
      </c>
      <c r="I158" s="154">
        <f t="shared" si="117"/>
        <v>0</v>
      </c>
      <c r="J158" s="154">
        <f t="shared" si="117"/>
        <v>0</v>
      </c>
      <c r="K158" s="154">
        <f t="shared" si="117"/>
        <v>0</v>
      </c>
      <c r="L158" s="154">
        <f t="shared" si="117"/>
        <v>0</v>
      </c>
      <c r="M158" s="154">
        <f t="shared" si="117"/>
        <v>0</v>
      </c>
      <c r="N158" s="154">
        <f t="shared" si="117"/>
        <v>0</v>
      </c>
      <c r="O158" s="154">
        <f t="shared" si="117"/>
        <v>0</v>
      </c>
      <c r="P158" s="154">
        <f t="shared" si="117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11">
        <f t="shared" si="116"/>
        <v>0</v>
      </c>
      <c r="F159" s="11">
        <f t="shared" si="117"/>
        <v>0</v>
      </c>
      <c r="G159" s="11">
        <f t="shared" si="117"/>
        <v>0</v>
      </c>
      <c r="H159" s="11">
        <f t="shared" si="117"/>
        <v>0</v>
      </c>
      <c r="I159" s="11">
        <f t="shared" si="117"/>
        <v>0</v>
      </c>
      <c r="J159" s="11">
        <f t="shared" si="117"/>
        <v>0</v>
      </c>
      <c r="K159" s="11">
        <f t="shared" si="117"/>
        <v>0</v>
      </c>
      <c r="L159" s="11">
        <f t="shared" si="117"/>
        <v>0</v>
      </c>
      <c r="M159" s="11">
        <f t="shared" si="117"/>
        <v>0</v>
      </c>
      <c r="N159" s="11">
        <f t="shared" si="117"/>
        <v>0</v>
      </c>
      <c r="O159" s="11">
        <f t="shared" si="117"/>
        <v>0</v>
      </c>
      <c r="P159" s="11">
        <f t="shared" si="117"/>
        <v>0</v>
      </c>
    </row>
    <row r="160" spans="1:16" s="2" customFormat="1" collapsed="1" x14ac:dyDescent="0.25">
      <c r="A160" s="2">
        <v>651</v>
      </c>
      <c r="B160" s="18" t="s">
        <v>469</v>
      </c>
      <c r="D160" s="164"/>
      <c r="E160" s="10">
        <f>SUM(E149:E159)</f>
        <v>12000</v>
      </c>
      <c r="F160" s="10">
        <f t="shared" ref="F160:P160" si="118">SUM(F149:F159)</f>
        <v>0</v>
      </c>
      <c r="G160" s="10">
        <f t="shared" si="118"/>
        <v>0</v>
      </c>
      <c r="H160" s="10">
        <f t="shared" si="118"/>
        <v>0</v>
      </c>
      <c r="I160" s="10">
        <f t="shared" si="118"/>
        <v>0</v>
      </c>
      <c r="J160" s="10">
        <f t="shared" si="118"/>
        <v>0</v>
      </c>
      <c r="K160" s="10">
        <f t="shared" si="118"/>
        <v>0</v>
      </c>
      <c r="L160" s="10">
        <f t="shared" si="118"/>
        <v>0</v>
      </c>
      <c r="M160" s="10">
        <f t="shared" si="118"/>
        <v>0</v>
      </c>
      <c r="N160" s="10">
        <f t="shared" si="118"/>
        <v>0</v>
      </c>
      <c r="O160" s="10">
        <f t="shared" si="118"/>
        <v>0</v>
      </c>
      <c r="P160" s="10">
        <f t="shared" si="118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2" t="s">
        <v>726</v>
      </c>
      <c r="D161" s="85">
        <v>500</v>
      </c>
      <c r="E161" s="154">
        <v>28000</v>
      </c>
      <c r="F161" s="10">
        <v>0</v>
      </c>
      <c r="G161" s="154">
        <v>0</v>
      </c>
      <c r="H161" s="154">
        <v>0</v>
      </c>
      <c r="I161" s="10">
        <f>IF(I$182=0,0,(ROUND(0.1*I182,0)*$D161))</f>
        <v>6500</v>
      </c>
      <c r="J161" s="10">
        <v>0</v>
      </c>
      <c r="K161" s="154">
        <v>0</v>
      </c>
      <c r="L161" s="154">
        <v>0</v>
      </c>
      <c r="M161" s="10">
        <f>IF(M$182=0,0,(ROUND(0.1*M182,0)*$D161))</f>
        <v>8000</v>
      </c>
      <c r="N161" s="10">
        <v>0</v>
      </c>
      <c r="O161" s="154">
        <v>0</v>
      </c>
      <c r="P161" s="154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724</v>
      </c>
      <c r="D162" s="85">
        <v>5000</v>
      </c>
      <c r="E162" s="154">
        <v>12000</v>
      </c>
      <c r="F162" s="154">
        <v>0</v>
      </c>
      <c r="G162" s="154">
        <v>0</v>
      </c>
      <c r="H162" s="154">
        <v>0</v>
      </c>
      <c r="I162" s="154">
        <v>0</v>
      </c>
      <c r="J162" s="154">
        <v>0</v>
      </c>
      <c r="K162" s="154">
        <f>IF(K$182=0,0,$D162)</f>
        <v>5000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721</v>
      </c>
      <c r="D163" s="85">
        <v>3000</v>
      </c>
      <c r="E163" s="11">
        <v>5000</v>
      </c>
      <c r="F163" s="11">
        <v>0</v>
      </c>
      <c r="G163" s="11">
        <v>0</v>
      </c>
      <c r="H163" s="11">
        <v>0</v>
      </c>
      <c r="I163" s="11">
        <v>0</v>
      </c>
      <c r="J163" s="11">
        <f>IF(J$182=0,0,$D163)</f>
        <v>3000</v>
      </c>
      <c r="K163" s="11">
        <v>0</v>
      </c>
      <c r="L163" s="11">
        <v>0</v>
      </c>
      <c r="M163" s="11">
        <v>0</v>
      </c>
      <c r="N163" s="11">
        <v>0</v>
      </c>
      <c r="O163" s="11">
        <f>IF(O$182=0,0,$D163)</f>
        <v>3000</v>
      </c>
      <c r="P163" s="11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0">
        <f>SUM(E161:E163)</f>
        <v>45000</v>
      </c>
      <c r="F164" s="10">
        <f t="shared" ref="F164:P164" si="119">SUM(F161:F163)</f>
        <v>0</v>
      </c>
      <c r="G164" s="10">
        <f t="shared" si="119"/>
        <v>0</v>
      </c>
      <c r="H164" s="10">
        <f t="shared" si="119"/>
        <v>0</v>
      </c>
      <c r="I164" s="10">
        <f t="shared" si="119"/>
        <v>6500</v>
      </c>
      <c r="J164" s="10">
        <f t="shared" si="119"/>
        <v>3000</v>
      </c>
      <c r="K164" s="10">
        <f t="shared" si="119"/>
        <v>5000</v>
      </c>
      <c r="L164" s="10">
        <f t="shared" si="119"/>
        <v>0</v>
      </c>
      <c r="M164" s="10">
        <f t="shared" si="119"/>
        <v>8000</v>
      </c>
      <c r="N164" s="10">
        <f t="shared" si="119"/>
        <v>0</v>
      </c>
      <c r="O164" s="10">
        <f t="shared" si="119"/>
        <v>3000</v>
      </c>
      <c r="P164" s="10">
        <f t="shared" si="119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0">
        <f>IF(E$182=0,0,$D165*E$182)</f>
        <v>375</v>
      </c>
      <c r="F165" s="10">
        <f t="shared" ref="F165:P166" si="120">IF(F$182=0,0,$D165*F$182)</f>
        <v>525</v>
      </c>
      <c r="G165" s="10">
        <f t="shared" si="120"/>
        <v>600</v>
      </c>
      <c r="H165" s="10">
        <f t="shared" si="120"/>
        <v>630</v>
      </c>
      <c r="I165" s="10">
        <f t="shared" si="120"/>
        <v>660</v>
      </c>
      <c r="J165" s="10">
        <f t="shared" si="120"/>
        <v>695</v>
      </c>
      <c r="K165" s="10">
        <f t="shared" si="120"/>
        <v>730</v>
      </c>
      <c r="L165" s="10">
        <f t="shared" si="120"/>
        <v>765</v>
      </c>
      <c r="M165" s="10">
        <f t="shared" si="120"/>
        <v>805</v>
      </c>
      <c r="N165" s="10">
        <f t="shared" si="120"/>
        <v>845</v>
      </c>
      <c r="O165" s="10">
        <f t="shared" si="120"/>
        <v>885</v>
      </c>
      <c r="P165" s="10">
        <f t="shared" si="120"/>
        <v>930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0">
        <f>IF(E$182=0,0,$D166*E$182)</f>
        <v>375</v>
      </c>
      <c r="F166" s="10">
        <f t="shared" si="120"/>
        <v>525</v>
      </c>
      <c r="G166" s="10">
        <f t="shared" si="120"/>
        <v>600</v>
      </c>
      <c r="H166" s="10">
        <f t="shared" si="120"/>
        <v>630</v>
      </c>
      <c r="I166" s="10">
        <f t="shared" si="120"/>
        <v>660</v>
      </c>
      <c r="J166" s="10">
        <f t="shared" si="120"/>
        <v>695</v>
      </c>
      <c r="K166" s="10">
        <f t="shared" si="120"/>
        <v>730</v>
      </c>
      <c r="L166" s="10">
        <f t="shared" si="120"/>
        <v>765</v>
      </c>
      <c r="M166" s="10">
        <f t="shared" si="120"/>
        <v>805</v>
      </c>
      <c r="N166" s="10">
        <f t="shared" si="120"/>
        <v>845</v>
      </c>
      <c r="O166" s="10">
        <f t="shared" si="120"/>
        <v>885</v>
      </c>
      <c r="P166" s="10">
        <f t="shared" si="120"/>
        <v>930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0">
        <f>IF(E$182=0,0,$D167*10)</f>
        <v>50</v>
      </c>
      <c r="F167" s="10">
        <f t="shared" ref="F167:P167" si="121">IF(F$182=0,0,$D167*10)</f>
        <v>50</v>
      </c>
      <c r="G167" s="10">
        <f t="shared" si="121"/>
        <v>50</v>
      </c>
      <c r="H167" s="10">
        <f t="shared" si="121"/>
        <v>50</v>
      </c>
      <c r="I167" s="10">
        <f t="shared" si="121"/>
        <v>50</v>
      </c>
      <c r="J167" s="10">
        <f t="shared" si="121"/>
        <v>50</v>
      </c>
      <c r="K167" s="10">
        <f t="shared" si="121"/>
        <v>50</v>
      </c>
      <c r="L167" s="10">
        <f t="shared" si="121"/>
        <v>50</v>
      </c>
      <c r="M167" s="10">
        <f t="shared" si="121"/>
        <v>50</v>
      </c>
      <c r="N167" s="10">
        <f t="shared" si="121"/>
        <v>50</v>
      </c>
      <c r="O167" s="10">
        <f t="shared" si="121"/>
        <v>50</v>
      </c>
      <c r="P167" s="10">
        <f t="shared" si="121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54">
        <f>IF(E$182=0,0,$D168)</f>
        <v>0</v>
      </c>
      <c r="F168" s="154">
        <f t="shared" ref="F168:P170" si="122">IF(F$182=0,0,$D168)</f>
        <v>0</v>
      </c>
      <c r="G168" s="154">
        <f t="shared" si="122"/>
        <v>0</v>
      </c>
      <c r="H168" s="154">
        <f t="shared" si="122"/>
        <v>0</v>
      </c>
      <c r="I168" s="154">
        <f t="shared" si="122"/>
        <v>0</v>
      </c>
      <c r="J168" s="154">
        <f t="shared" si="122"/>
        <v>0</v>
      </c>
      <c r="K168" s="154">
        <f t="shared" si="122"/>
        <v>0</v>
      </c>
      <c r="L168" s="154">
        <f t="shared" si="122"/>
        <v>0</v>
      </c>
      <c r="M168" s="154">
        <f t="shared" si="122"/>
        <v>0</v>
      </c>
      <c r="N168" s="154">
        <f t="shared" si="122"/>
        <v>0</v>
      </c>
      <c r="O168" s="154">
        <f t="shared" si="122"/>
        <v>0</v>
      </c>
      <c r="P168" s="154">
        <f t="shared" si="122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54">
        <f>IF(E$182=0,0,$D169)</f>
        <v>0</v>
      </c>
      <c r="F169" s="154">
        <f t="shared" si="122"/>
        <v>0</v>
      </c>
      <c r="G169" s="154">
        <f t="shared" si="122"/>
        <v>0</v>
      </c>
      <c r="H169" s="154">
        <f t="shared" si="122"/>
        <v>0</v>
      </c>
      <c r="I169" s="154">
        <f t="shared" si="122"/>
        <v>0</v>
      </c>
      <c r="J169" s="154">
        <f t="shared" si="122"/>
        <v>0</v>
      </c>
      <c r="K169" s="154">
        <f t="shared" si="122"/>
        <v>0</v>
      </c>
      <c r="L169" s="154">
        <f t="shared" si="122"/>
        <v>0</v>
      </c>
      <c r="M169" s="154">
        <f t="shared" si="122"/>
        <v>0</v>
      </c>
      <c r="N169" s="154">
        <f t="shared" si="122"/>
        <v>0</v>
      </c>
      <c r="O169" s="154">
        <f t="shared" si="122"/>
        <v>0</v>
      </c>
      <c r="P169" s="154">
        <f t="shared" si="122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54">
        <f>IF(E$182=0,0,$D170)</f>
        <v>0</v>
      </c>
      <c r="F170" s="154">
        <f t="shared" si="122"/>
        <v>0</v>
      </c>
      <c r="G170" s="154">
        <f t="shared" si="122"/>
        <v>0</v>
      </c>
      <c r="H170" s="154">
        <f t="shared" si="122"/>
        <v>0</v>
      </c>
      <c r="I170" s="154">
        <f t="shared" si="122"/>
        <v>0</v>
      </c>
      <c r="J170" s="154">
        <f t="shared" si="122"/>
        <v>0</v>
      </c>
      <c r="K170" s="154">
        <f t="shared" si="122"/>
        <v>0</v>
      </c>
      <c r="L170" s="154">
        <f t="shared" si="122"/>
        <v>0</v>
      </c>
      <c r="M170" s="154">
        <f t="shared" si="122"/>
        <v>0</v>
      </c>
      <c r="N170" s="154">
        <f t="shared" si="122"/>
        <v>0</v>
      </c>
      <c r="O170" s="154">
        <f t="shared" si="122"/>
        <v>0</v>
      </c>
      <c r="P170" s="154">
        <f t="shared" si="122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54">
        <f>IF(E$182=0,0,($D171*12))</f>
        <v>0</v>
      </c>
      <c r="F171" s="154">
        <f t="shared" ref="F171:P171" si="123">IF(F$182=0,0,($D171*12))</f>
        <v>0</v>
      </c>
      <c r="G171" s="154">
        <f t="shared" si="123"/>
        <v>0</v>
      </c>
      <c r="H171" s="154">
        <f t="shared" si="123"/>
        <v>0</v>
      </c>
      <c r="I171" s="154">
        <f t="shared" si="123"/>
        <v>0</v>
      </c>
      <c r="J171" s="154">
        <f t="shared" si="123"/>
        <v>0</v>
      </c>
      <c r="K171" s="154">
        <f t="shared" si="123"/>
        <v>0</v>
      </c>
      <c r="L171" s="154">
        <f t="shared" si="123"/>
        <v>0</v>
      </c>
      <c r="M171" s="154">
        <f t="shared" si="123"/>
        <v>0</v>
      </c>
      <c r="N171" s="154">
        <f t="shared" si="123"/>
        <v>0</v>
      </c>
      <c r="O171" s="154">
        <f t="shared" si="123"/>
        <v>0</v>
      </c>
      <c r="P171" s="154">
        <f t="shared" si="123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622</v>
      </c>
      <c r="D172" s="85">
        <v>0</v>
      </c>
      <c r="E172" s="11">
        <f>IF(E$182=0,0,$D172)</f>
        <v>0</v>
      </c>
      <c r="F172" s="11">
        <f t="shared" ref="F172:P172" si="124">IF(F$182=0,0,$D172)</f>
        <v>0</v>
      </c>
      <c r="G172" s="11">
        <f t="shared" si="124"/>
        <v>0</v>
      </c>
      <c r="H172" s="11">
        <f t="shared" si="124"/>
        <v>0</v>
      </c>
      <c r="I172" s="11">
        <f t="shared" si="124"/>
        <v>0</v>
      </c>
      <c r="J172" s="11">
        <f t="shared" si="124"/>
        <v>0</v>
      </c>
      <c r="K172" s="11">
        <f t="shared" si="124"/>
        <v>0</v>
      </c>
      <c r="L172" s="11">
        <f t="shared" si="124"/>
        <v>0</v>
      </c>
      <c r="M172" s="11">
        <f t="shared" si="124"/>
        <v>0</v>
      </c>
      <c r="N172" s="11">
        <f t="shared" si="124"/>
        <v>0</v>
      </c>
      <c r="O172" s="11">
        <f t="shared" si="124"/>
        <v>0</v>
      </c>
      <c r="P172" s="11">
        <f t="shared" si="124"/>
        <v>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0">
        <f t="shared" ref="E173:P173" si="125">SUM(E165:E172)</f>
        <v>800</v>
      </c>
      <c r="F173" s="10">
        <f t="shared" si="125"/>
        <v>1100</v>
      </c>
      <c r="G173" s="10">
        <f t="shared" si="125"/>
        <v>1250</v>
      </c>
      <c r="H173" s="10">
        <f t="shared" si="125"/>
        <v>1310</v>
      </c>
      <c r="I173" s="10">
        <f t="shared" si="125"/>
        <v>1370</v>
      </c>
      <c r="J173" s="10">
        <f t="shared" si="125"/>
        <v>1440</v>
      </c>
      <c r="K173" s="10">
        <f t="shared" si="125"/>
        <v>1510</v>
      </c>
      <c r="L173" s="10">
        <f t="shared" si="125"/>
        <v>1580</v>
      </c>
      <c r="M173" s="10">
        <f t="shared" si="125"/>
        <v>1660</v>
      </c>
      <c r="N173" s="10">
        <f t="shared" si="125"/>
        <v>1740</v>
      </c>
      <c r="O173" s="10">
        <f t="shared" si="125"/>
        <v>1820</v>
      </c>
      <c r="P173" s="10">
        <f t="shared" si="125"/>
        <v>1910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759745.26850000001</v>
      </c>
      <c r="F176" s="183">
        <f>F175+F174+F173+F164+F160+F148+F145+F141+F140+F139+F138+F134+F133+F126+F120+F119+F118+F114+F109+F108+F105+F104+F102+F101+F96+F92+F84+F83+F82+F81+F55</f>
        <v>729812.48788199993</v>
      </c>
      <c r="G176" s="183">
        <f t="shared" ref="G176:P176" si="126">G175+G174+G173+G164+G160+G148+G145+G141+G140+G139+G138+G134+G133+G126+G120+G119+G118+G114+G109+G108+G105+G104+G102+G101+G96+G92+G84+G83+G82+G81+G55</f>
        <v>854468.5140071502</v>
      </c>
      <c r="H176" s="183">
        <f t="shared" si="126"/>
        <v>888635.8812164159</v>
      </c>
      <c r="I176" s="183">
        <f t="shared" si="126"/>
        <v>934663.88287609199</v>
      </c>
      <c r="J176" s="183">
        <f t="shared" si="126"/>
        <v>975806.15221833764</v>
      </c>
      <c r="K176" s="183">
        <f t="shared" si="126"/>
        <v>1023284.5339619819</v>
      </c>
      <c r="L176" s="183">
        <f t="shared" si="126"/>
        <v>1064603.8582155777</v>
      </c>
      <c r="M176" s="183">
        <f t="shared" si="126"/>
        <v>1124326.4243748961</v>
      </c>
      <c r="N176" s="183">
        <f t="shared" si="126"/>
        <v>1219759.7099650386</v>
      </c>
      <c r="O176" s="183">
        <f t="shared" si="126"/>
        <v>1277757.1003707421</v>
      </c>
      <c r="P176" s="183">
        <f t="shared" si="126"/>
        <v>1334955.7838839914</v>
      </c>
    </row>
    <row r="177" spans="1:16" s="2" customFormat="1" ht="15.75" thickBot="1" x14ac:dyDescent="0.3">
      <c r="A177" s="16" t="s">
        <v>217</v>
      </c>
      <c r="E177" s="184">
        <f>E39-E176</f>
        <v>34892.231499999994</v>
      </c>
      <c r="F177" s="184">
        <f>F39-F176</f>
        <v>15933.212118000141</v>
      </c>
      <c r="G177" s="184">
        <f t="shared" ref="G177:P177" si="127">G39-G176</f>
        <v>-4212.932257150067</v>
      </c>
      <c r="H177" s="184">
        <f t="shared" si="127"/>
        <v>-6897.6731705719139</v>
      </c>
      <c r="I177" s="184">
        <f t="shared" si="127"/>
        <v>-4086.9428505619289</v>
      </c>
      <c r="J177" s="184">
        <f t="shared" si="127"/>
        <v>11388.193208369194</v>
      </c>
      <c r="K177" s="184">
        <f t="shared" si="127"/>
        <v>21316.568980043055</v>
      </c>
      <c r="L177" s="184">
        <f t="shared" si="127"/>
        <v>38202.040432064561</v>
      </c>
      <c r="M177" s="184">
        <f t="shared" si="127"/>
        <v>44752.439538093517</v>
      </c>
      <c r="N177" s="184">
        <f t="shared" si="127"/>
        <v>16515.545616979944</v>
      </c>
      <c r="O177" s="184">
        <f t="shared" si="127"/>
        <v>26648.131709745852</v>
      </c>
      <c r="P177" s="184">
        <f t="shared" si="127"/>
        <v>45947.479477155488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8">E3</f>
        <v>FY 2018-2019</v>
      </c>
      <c r="F179" s="3" t="str">
        <f t="shared" si="128"/>
        <v>FY 2019-2020</v>
      </c>
      <c r="G179" s="3" t="str">
        <f t="shared" si="128"/>
        <v>FY 2020-2021</v>
      </c>
      <c r="H179" s="3" t="str">
        <f t="shared" si="128"/>
        <v>FY 2021-2022</v>
      </c>
      <c r="I179" s="3" t="str">
        <f t="shared" si="128"/>
        <v>FY 2022-2023</v>
      </c>
      <c r="J179" s="3" t="str">
        <f t="shared" si="128"/>
        <v>FY 2023-2024</v>
      </c>
      <c r="K179" s="3" t="str">
        <f t="shared" si="128"/>
        <v>FY 2024-2025</v>
      </c>
      <c r="L179" s="3" t="str">
        <f t="shared" si="128"/>
        <v>FY 2025-2026</v>
      </c>
      <c r="M179" s="3" t="str">
        <f t="shared" si="128"/>
        <v>FY 2026-2027</v>
      </c>
      <c r="N179" s="3" t="str">
        <f t="shared" si="128"/>
        <v>FY 2027-2028</v>
      </c>
      <c r="O179" s="3" t="str">
        <f t="shared" si="128"/>
        <v>FY 2027-2028</v>
      </c>
      <c r="P179" s="3" t="str">
        <f t="shared" si="128"/>
        <v>FY 2028-2029</v>
      </c>
    </row>
    <row r="180" spans="1:16" s="2" customFormat="1" x14ac:dyDescent="0.25">
      <c r="C180" s="2">
        <v>11</v>
      </c>
      <c r="E180" s="133">
        <f>Assumptions!E55</f>
        <v>40</v>
      </c>
      <c r="F180" s="133">
        <f>Assumptions!F55</f>
        <v>60</v>
      </c>
      <c r="G180" s="133">
        <f>Assumptions!G55</f>
        <v>70</v>
      </c>
      <c r="H180" s="133">
        <f>Assumptions!H55</f>
        <v>70</v>
      </c>
      <c r="I180" s="133">
        <f>Assumptions!I55</f>
        <v>70</v>
      </c>
      <c r="J180" s="133">
        <f>Assumptions!J55</f>
        <v>80</v>
      </c>
      <c r="K180" s="133">
        <f>Assumptions!K55</f>
        <v>80</v>
      </c>
      <c r="L180" s="133">
        <f>Assumptions!L55</f>
        <v>80</v>
      </c>
      <c r="M180" s="133">
        <f>Assumptions!M55</f>
        <v>90</v>
      </c>
      <c r="N180" s="133">
        <f>Assumptions!N55</f>
        <v>90</v>
      </c>
      <c r="O180" s="133">
        <f>Assumptions!O55</f>
        <v>100</v>
      </c>
      <c r="P180" s="133">
        <f>Assumptions!P55</f>
        <v>100</v>
      </c>
    </row>
    <row r="181" spans="1:16" s="2" customFormat="1" x14ac:dyDescent="0.25">
      <c r="C181" s="2">
        <v>12</v>
      </c>
      <c r="E181" s="197">
        <f>Assumptions!E56</f>
        <v>35</v>
      </c>
      <c r="F181" s="197">
        <f>Assumptions!F56</f>
        <v>45</v>
      </c>
      <c r="G181" s="197">
        <f>Assumptions!G56</f>
        <v>50</v>
      </c>
      <c r="H181" s="197">
        <f>Assumptions!H56</f>
        <v>56</v>
      </c>
      <c r="I181" s="197">
        <f>Assumptions!I56</f>
        <v>62</v>
      </c>
      <c r="J181" s="197">
        <f>Assumptions!J56</f>
        <v>59</v>
      </c>
      <c r="K181" s="197">
        <f>Assumptions!K56</f>
        <v>66</v>
      </c>
      <c r="L181" s="197">
        <f>Assumptions!L56</f>
        <v>73</v>
      </c>
      <c r="M181" s="197">
        <f>Assumptions!M56</f>
        <v>71</v>
      </c>
      <c r="N181" s="197">
        <f>Assumptions!N56</f>
        <v>79</v>
      </c>
      <c r="O181" s="197">
        <f>Assumptions!O56</f>
        <v>77</v>
      </c>
      <c r="P181" s="197">
        <f>Assumptions!P56</f>
        <v>86</v>
      </c>
    </row>
    <row r="182" spans="1:16" s="2" customFormat="1" x14ac:dyDescent="0.25">
      <c r="E182" s="113">
        <f t="shared" ref="E182:P182" si="129">SUM(E180:E181)</f>
        <v>75</v>
      </c>
      <c r="F182" s="113">
        <f t="shared" si="129"/>
        <v>105</v>
      </c>
      <c r="G182" s="113">
        <f t="shared" si="129"/>
        <v>120</v>
      </c>
      <c r="H182" s="113">
        <f t="shared" si="129"/>
        <v>126</v>
      </c>
      <c r="I182" s="113">
        <f t="shared" si="129"/>
        <v>132</v>
      </c>
      <c r="J182" s="113">
        <f t="shared" si="129"/>
        <v>139</v>
      </c>
      <c r="K182" s="113">
        <f t="shared" si="129"/>
        <v>146</v>
      </c>
      <c r="L182" s="113">
        <f t="shared" si="129"/>
        <v>153</v>
      </c>
      <c r="M182" s="113">
        <f t="shared" si="129"/>
        <v>161</v>
      </c>
      <c r="N182" s="113">
        <f t="shared" si="129"/>
        <v>169</v>
      </c>
      <c r="O182" s="113">
        <f t="shared" si="129"/>
        <v>177</v>
      </c>
      <c r="P182" s="113">
        <f t="shared" si="129"/>
        <v>186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2</v>
      </c>
      <c r="F185" s="2">
        <f t="shared" ref="F185:P185" si="130">ROUND(F182*$D185,0)</f>
        <v>2</v>
      </c>
      <c r="G185" s="2">
        <f t="shared" si="130"/>
        <v>2</v>
      </c>
      <c r="H185" s="2">
        <f t="shared" si="130"/>
        <v>3</v>
      </c>
      <c r="I185" s="2">
        <f t="shared" si="130"/>
        <v>3</v>
      </c>
      <c r="J185" s="2">
        <f t="shared" si="130"/>
        <v>3</v>
      </c>
      <c r="K185" s="2">
        <f t="shared" si="130"/>
        <v>3</v>
      </c>
      <c r="L185" s="2">
        <f t="shared" si="130"/>
        <v>3</v>
      </c>
      <c r="M185" s="2">
        <f t="shared" si="130"/>
        <v>3</v>
      </c>
      <c r="N185" s="2">
        <f t="shared" si="130"/>
        <v>3</v>
      </c>
      <c r="O185" s="2">
        <f t="shared" si="130"/>
        <v>4</v>
      </c>
      <c r="P185" s="2">
        <f t="shared" si="130"/>
        <v>4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31">E3</f>
        <v>FY 2018-2019</v>
      </c>
      <c r="F187" s="3" t="str">
        <f t="shared" si="131"/>
        <v>FY 2019-2020</v>
      </c>
      <c r="G187" s="3" t="str">
        <f t="shared" si="131"/>
        <v>FY 2020-2021</v>
      </c>
      <c r="H187" s="3" t="str">
        <f t="shared" si="131"/>
        <v>FY 2021-2022</v>
      </c>
      <c r="I187" s="3" t="str">
        <f t="shared" si="131"/>
        <v>FY 2022-2023</v>
      </c>
      <c r="J187" s="3" t="str">
        <f t="shared" si="131"/>
        <v>FY 2023-2024</v>
      </c>
      <c r="K187" s="3" t="str">
        <f t="shared" si="131"/>
        <v>FY 2024-2025</v>
      </c>
      <c r="L187" s="3" t="str">
        <f t="shared" si="131"/>
        <v>FY 2025-2026</v>
      </c>
      <c r="M187" s="3" t="str">
        <f t="shared" si="131"/>
        <v>FY 2026-2027</v>
      </c>
      <c r="N187" s="3" t="str">
        <f t="shared" si="131"/>
        <v>FY 2027-2028</v>
      </c>
      <c r="O187" s="3" t="str">
        <f t="shared" si="131"/>
        <v>FY 2027-2028</v>
      </c>
      <c r="P187" s="3" t="str">
        <f t="shared" si="131"/>
        <v>FY 2028-2029</v>
      </c>
    </row>
    <row r="188" spans="1:16" s="2" customFormat="1" x14ac:dyDescent="0.25">
      <c r="A188" s="2" t="s">
        <v>401</v>
      </c>
      <c r="B188" s="7" t="s">
        <v>410</v>
      </c>
      <c r="C188" s="219"/>
      <c r="D188" s="217"/>
      <c r="E188" s="309">
        <v>0</v>
      </c>
      <c r="F188" s="309">
        <v>0</v>
      </c>
      <c r="G188" s="309">
        <v>0.5</v>
      </c>
      <c r="H188" s="309">
        <v>0.5</v>
      </c>
      <c r="I188" s="309">
        <v>0.5</v>
      </c>
      <c r="J188" s="309">
        <v>0.5</v>
      </c>
      <c r="K188" s="309">
        <v>0.5</v>
      </c>
      <c r="L188" s="309">
        <v>0.5</v>
      </c>
      <c r="M188" s="309">
        <v>0.5</v>
      </c>
      <c r="N188" s="309">
        <v>1</v>
      </c>
      <c r="O188" s="2">
        <f t="shared" ref="L188:P196" si="132">N188</f>
        <v>1</v>
      </c>
      <c r="P188" s="2">
        <f t="shared" si="132"/>
        <v>1</v>
      </c>
    </row>
    <row r="189" spans="1:16" s="2" customFormat="1" x14ac:dyDescent="0.25">
      <c r="A189" s="2" t="s">
        <v>404</v>
      </c>
      <c r="B189" s="7" t="s">
        <v>411</v>
      </c>
      <c r="C189" s="219"/>
      <c r="D189" s="217"/>
      <c r="E189" s="309">
        <v>1</v>
      </c>
      <c r="F189" s="309">
        <v>1</v>
      </c>
      <c r="G189" s="309">
        <v>1</v>
      </c>
      <c r="H189" s="309">
        <v>1</v>
      </c>
      <c r="I189" s="309">
        <v>1</v>
      </c>
      <c r="J189" s="309">
        <v>1</v>
      </c>
      <c r="K189" s="309">
        <v>1</v>
      </c>
      <c r="L189" s="309">
        <v>1</v>
      </c>
      <c r="M189" s="309">
        <v>1</v>
      </c>
      <c r="N189" s="309">
        <v>1</v>
      </c>
      <c r="O189" s="309">
        <v>1</v>
      </c>
      <c r="P189" s="309"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309">
        <v>1</v>
      </c>
      <c r="F190" s="309">
        <v>1</v>
      </c>
      <c r="G190" s="309">
        <v>1</v>
      </c>
      <c r="H190" s="309">
        <v>1</v>
      </c>
      <c r="I190" s="309">
        <v>1</v>
      </c>
      <c r="J190" s="309">
        <v>1</v>
      </c>
      <c r="K190" s="113">
        <f t="shared" ref="K190:K196" si="133">J190</f>
        <v>1</v>
      </c>
      <c r="L190" s="113">
        <f t="shared" si="132"/>
        <v>1</v>
      </c>
      <c r="M190" s="113">
        <f t="shared" si="132"/>
        <v>1</v>
      </c>
      <c r="N190" s="113">
        <f t="shared" si="132"/>
        <v>1</v>
      </c>
      <c r="O190" s="113">
        <f t="shared" si="132"/>
        <v>1</v>
      </c>
      <c r="P190" s="113">
        <f t="shared" si="132"/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309">
        <v>1</v>
      </c>
      <c r="F191" s="309">
        <v>1</v>
      </c>
      <c r="G191" s="309">
        <v>0</v>
      </c>
      <c r="H191" s="309">
        <v>0</v>
      </c>
      <c r="I191" s="309">
        <v>0</v>
      </c>
      <c r="J191" s="2">
        <f>I191</f>
        <v>0</v>
      </c>
      <c r="K191" s="113">
        <f t="shared" si="133"/>
        <v>0</v>
      </c>
      <c r="L191" s="113">
        <f t="shared" si="132"/>
        <v>0</v>
      </c>
      <c r="M191" s="113">
        <f t="shared" si="132"/>
        <v>0</v>
      </c>
      <c r="N191" s="113">
        <f t="shared" si="132"/>
        <v>0</v>
      </c>
      <c r="O191" s="113">
        <f t="shared" si="132"/>
        <v>0</v>
      </c>
      <c r="P191" s="113">
        <f t="shared" si="132"/>
        <v>0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309">
        <v>0</v>
      </c>
      <c r="F192" s="309">
        <v>1</v>
      </c>
      <c r="G192" s="309">
        <v>2</v>
      </c>
      <c r="H192" s="309">
        <v>2</v>
      </c>
      <c r="I192" s="309">
        <v>2</v>
      </c>
      <c r="J192" s="113">
        <f>I192</f>
        <v>2</v>
      </c>
      <c r="K192" s="113">
        <f t="shared" si="133"/>
        <v>2</v>
      </c>
      <c r="L192" s="113">
        <f t="shared" si="132"/>
        <v>2</v>
      </c>
      <c r="M192" s="113">
        <f t="shared" si="132"/>
        <v>2</v>
      </c>
      <c r="N192" s="113">
        <f t="shared" si="132"/>
        <v>2</v>
      </c>
      <c r="O192" s="113">
        <f t="shared" si="132"/>
        <v>2</v>
      </c>
      <c r="P192" s="113">
        <f t="shared" si="132"/>
        <v>2</v>
      </c>
    </row>
    <row r="193" spans="1:16" s="2" customFormat="1" x14ac:dyDescent="0.25">
      <c r="A193" s="2">
        <v>6127</v>
      </c>
      <c r="B193" s="13" t="s">
        <v>533</v>
      </c>
      <c r="C193" s="221"/>
      <c r="D193" s="216"/>
      <c r="E193" s="309">
        <v>0</v>
      </c>
      <c r="F193" s="309">
        <v>0</v>
      </c>
      <c r="G193" s="309">
        <v>0</v>
      </c>
      <c r="H193" s="309">
        <v>0</v>
      </c>
      <c r="I193" s="309">
        <v>0</v>
      </c>
      <c r="J193" s="113">
        <f>I193</f>
        <v>0</v>
      </c>
      <c r="K193" s="113">
        <f t="shared" si="133"/>
        <v>0</v>
      </c>
      <c r="L193" s="113">
        <f t="shared" si="132"/>
        <v>0</v>
      </c>
      <c r="M193" s="113">
        <f t="shared" si="132"/>
        <v>0</v>
      </c>
      <c r="N193" s="113">
        <f t="shared" si="132"/>
        <v>0</v>
      </c>
      <c r="O193" s="113">
        <f t="shared" si="132"/>
        <v>0</v>
      </c>
      <c r="P193" s="113">
        <f t="shared" si="132"/>
        <v>0</v>
      </c>
    </row>
    <row r="194" spans="1:16" s="2" customFormat="1" x14ac:dyDescent="0.25">
      <c r="A194" s="2">
        <v>6127</v>
      </c>
      <c r="B194" s="13" t="s">
        <v>534</v>
      </c>
      <c r="C194" s="221"/>
      <c r="D194" s="216"/>
      <c r="E194" s="309">
        <v>0</v>
      </c>
      <c r="F194" s="309">
        <v>0</v>
      </c>
      <c r="G194" s="309">
        <v>0</v>
      </c>
      <c r="H194" s="309">
        <v>0</v>
      </c>
      <c r="I194" s="309">
        <v>0</v>
      </c>
      <c r="J194" s="113">
        <f>I194</f>
        <v>0</v>
      </c>
      <c r="K194" s="113">
        <f t="shared" si="133"/>
        <v>0</v>
      </c>
      <c r="L194" s="113">
        <f t="shared" si="132"/>
        <v>0</v>
      </c>
      <c r="M194" s="113">
        <f t="shared" si="132"/>
        <v>0</v>
      </c>
      <c r="N194" s="113">
        <f t="shared" si="132"/>
        <v>0</v>
      </c>
      <c r="O194" s="113">
        <f t="shared" si="132"/>
        <v>0</v>
      </c>
      <c r="P194" s="113">
        <f t="shared" si="132"/>
        <v>0</v>
      </c>
    </row>
    <row r="195" spans="1:16" s="2" customFormat="1" x14ac:dyDescent="0.25">
      <c r="A195" s="2">
        <v>6127</v>
      </c>
      <c r="B195" s="7" t="s">
        <v>540</v>
      </c>
      <c r="C195" s="219"/>
      <c r="D195" s="216"/>
      <c r="E195" s="310">
        <v>0</v>
      </c>
      <c r="F195" s="310">
        <v>0</v>
      </c>
      <c r="G195" s="310">
        <v>0</v>
      </c>
      <c r="H195" s="310">
        <v>0</v>
      </c>
      <c r="I195" s="310">
        <v>0</v>
      </c>
      <c r="J195" s="310">
        <v>0</v>
      </c>
      <c r="K195" s="113">
        <f t="shared" si="133"/>
        <v>0</v>
      </c>
      <c r="L195" s="113">
        <f t="shared" si="132"/>
        <v>0</v>
      </c>
      <c r="M195" s="113">
        <f t="shared" si="132"/>
        <v>0</v>
      </c>
      <c r="N195" s="113">
        <f t="shared" si="132"/>
        <v>0</v>
      </c>
      <c r="O195" s="113">
        <f t="shared" si="132"/>
        <v>0</v>
      </c>
      <c r="P195" s="113">
        <f t="shared" si="132"/>
        <v>0</v>
      </c>
    </row>
    <row r="196" spans="1:16" s="2" customFormat="1" x14ac:dyDescent="0.25">
      <c r="B196" s="7" t="s">
        <v>397</v>
      </c>
      <c r="C196" s="219"/>
      <c r="D196" s="216"/>
      <c r="E196" s="311">
        <v>0</v>
      </c>
      <c r="F196" s="311">
        <v>0</v>
      </c>
      <c r="G196" s="311">
        <v>0</v>
      </c>
      <c r="H196" s="311">
        <v>0</v>
      </c>
      <c r="I196" s="311">
        <v>0</v>
      </c>
      <c r="J196" s="182">
        <f>I196</f>
        <v>0</v>
      </c>
      <c r="K196" s="182">
        <f t="shared" si="133"/>
        <v>0</v>
      </c>
      <c r="L196" s="182">
        <f t="shared" si="132"/>
        <v>0</v>
      </c>
      <c r="M196" s="182">
        <f t="shared" si="132"/>
        <v>0</v>
      </c>
      <c r="N196" s="182">
        <f t="shared" si="132"/>
        <v>0</v>
      </c>
      <c r="O196" s="182">
        <f t="shared" si="132"/>
        <v>0</v>
      </c>
      <c r="P196" s="182">
        <f t="shared" si="132"/>
        <v>0</v>
      </c>
    </row>
    <row r="197" spans="1:16" s="23" customFormat="1" x14ac:dyDescent="0.25">
      <c r="C197" s="78"/>
      <c r="D197" s="78"/>
      <c r="E197" s="23">
        <f>SUM(E188:E195)</f>
        <v>3</v>
      </c>
      <c r="F197" s="23">
        <f t="shared" ref="F197:P197" si="134">SUM(F188:F195)</f>
        <v>4</v>
      </c>
      <c r="G197" s="23">
        <f t="shared" si="134"/>
        <v>4.5</v>
      </c>
      <c r="H197" s="23">
        <f t="shared" si="134"/>
        <v>4.5</v>
      </c>
      <c r="I197" s="23">
        <f t="shared" si="134"/>
        <v>4.5</v>
      </c>
      <c r="J197" s="23">
        <f t="shared" si="134"/>
        <v>4.5</v>
      </c>
      <c r="K197" s="23">
        <f t="shared" si="134"/>
        <v>4.5</v>
      </c>
      <c r="L197" s="23">
        <f t="shared" si="134"/>
        <v>4.5</v>
      </c>
      <c r="M197" s="23">
        <f t="shared" si="134"/>
        <v>4.5</v>
      </c>
      <c r="N197" s="23">
        <f t="shared" si="134"/>
        <v>5</v>
      </c>
      <c r="O197" s="23">
        <f t="shared" si="134"/>
        <v>5</v>
      </c>
      <c r="P197" s="23">
        <f t="shared" si="134"/>
        <v>5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0</v>
      </c>
      <c r="F199" s="191">
        <f t="shared" ref="F199:P199" si="135">SUMIFS(F$188:F$195,$A$188:$A$195,$A188)</f>
        <v>0</v>
      </c>
      <c r="G199" s="191">
        <f t="shared" si="135"/>
        <v>0.5</v>
      </c>
      <c r="H199" s="191">
        <f t="shared" si="135"/>
        <v>0.5</v>
      </c>
      <c r="I199" s="191">
        <f t="shared" si="135"/>
        <v>0.5</v>
      </c>
      <c r="J199" s="191">
        <f t="shared" si="135"/>
        <v>0.5</v>
      </c>
      <c r="K199" s="191">
        <f t="shared" si="135"/>
        <v>0.5</v>
      </c>
      <c r="L199" s="191">
        <f t="shared" si="135"/>
        <v>0.5</v>
      </c>
      <c r="M199" s="191">
        <f t="shared" si="135"/>
        <v>0.5</v>
      </c>
      <c r="N199" s="191">
        <f t="shared" si="135"/>
        <v>1</v>
      </c>
      <c r="O199" s="191">
        <f t="shared" si="135"/>
        <v>1</v>
      </c>
      <c r="P199" s="191">
        <f t="shared" si="135"/>
        <v>1</v>
      </c>
    </row>
    <row r="200" spans="1:16" s="23" customFormat="1" x14ac:dyDescent="0.25">
      <c r="A200" s="7" t="s">
        <v>9</v>
      </c>
      <c r="B200" s="25"/>
      <c r="E200" s="23">
        <f>SUM(E199:E199)</f>
        <v>0</v>
      </c>
      <c r="F200" s="23">
        <f t="shared" ref="F200:P200" si="136">SUM(F199:F199)</f>
        <v>0</v>
      </c>
      <c r="G200" s="23">
        <f t="shared" si="136"/>
        <v>0.5</v>
      </c>
      <c r="H200" s="23">
        <f t="shared" si="136"/>
        <v>0.5</v>
      </c>
      <c r="I200" s="23">
        <f t="shared" si="136"/>
        <v>0.5</v>
      </c>
      <c r="J200" s="23">
        <f t="shared" si="136"/>
        <v>0.5</v>
      </c>
      <c r="K200" s="23">
        <f t="shared" si="136"/>
        <v>0.5</v>
      </c>
      <c r="L200" s="23">
        <f t="shared" si="136"/>
        <v>0.5</v>
      </c>
      <c r="M200" s="23">
        <f t="shared" si="136"/>
        <v>0.5</v>
      </c>
      <c r="N200" s="23">
        <f t="shared" si="136"/>
        <v>1</v>
      </c>
      <c r="O200" s="23">
        <f t="shared" si="136"/>
        <v>1</v>
      </c>
      <c r="P200" s="23">
        <f t="shared" si="136"/>
        <v>1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1</v>
      </c>
      <c r="F202" s="17">
        <f t="shared" ref="F202:P202" si="137">SUMIFS(F188:F196,$A188:$A196,$A191)</f>
        <v>2</v>
      </c>
      <c r="G202" s="17">
        <f t="shared" si="137"/>
        <v>2</v>
      </c>
      <c r="H202" s="17">
        <f t="shared" si="137"/>
        <v>2</v>
      </c>
      <c r="I202" s="17">
        <f t="shared" si="137"/>
        <v>2</v>
      </c>
      <c r="J202" s="17">
        <f t="shared" si="137"/>
        <v>2</v>
      </c>
      <c r="K202" s="17">
        <f t="shared" si="137"/>
        <v>2</v>
      </c>
      <c r="L202" s="17">
        <f t="shared" si="137"/>
        <v>2</v>
      </c>
      <c r="M202" s="17">
        <f t="shared" si="137"/>
        <v>2</v>
      </c>
      <c r="N202" s="17">
        <f t="shared" si="137"/>
        <v>2</v>
      </c>
      <c r="O202" s="17">
        <f t="shared" si="137"/>
        <v>2</v>
      </c>
      <c r="P202" s="17">
        <f t="shared" si="137"/>
        <v>2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1</v>
      </c>
      <c r="F203" s="17">
        <f t="shared" ref="F203:P203" si="138">SUMIFS(F189:F197,$A189:$A197,$A189)</f>
        <v>1</v>
      </c>
      <c r="G203" s="17">
        <f t="shared" si="138"/>
        <v>1</v>
      </c>
      <c r="H203" s="17">
        <f t="shared" si="138"/>
        <v>1</v>
      </c>
      <c r="I203" s="17">
        <f t="shared" si="138"/>
        <v>1</v>
      </c>
      <c r="J203" s="17">
        <f t="shared" si="138"/>
        <v>1</v>
      </c>
      <c r="K203" s="17">
        <f t="shared" si="138"/>
        <v>1</v>
      </c>
      <c r="L203" s="17">
        <f t="shared" si="138"/>
        <v>1</v>
      </c>
      <c r="M203" s="17">
        <f t="shared" si="138"/>
        <v>1</v>
      </c>
      <c r="N203" s="17">
        <f t="shared" si="138"/>
        <v>1</v>
      </c>
      <c r="O203" s="17">
        <f t="shared" si="138"/>
        <v>1</v>
      </c>
      <c r="P203" s="17">
        <f t="shared" si="138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1</v>
      </c>
      <c r="F204" s="119">
        <f t="shared" ref="F204:P204" si="139">F197-F200-F202-F203</f>
        <v>1</v>
      </c>
      <c r="G204" s="119">
        <f t="shared" si="139"/>
        <v>1</v>
      </c>
      <c r="H204" s="119">
        <f t="shared" si="139"/>
        <v>1</v>
      </c>
      <c r="I204" s="119">
        <f t="shared" si="139"/>
        <v>1</v>
      </c>
      <c r="J204" s="119">
        <f t="shared" si="139"/>
        <v>1</v>
      </c>
      <c r="K204" s="119">
        <f t="shared" si="139"/>
        <v>1</v>
      </c>
      <c r="L204" s="119">
        <f t="shared" si="139"/>
        <v>1</v>
      </c>
      <c r="M204" s="119">
        <f t="shared" si="139"/>
        <v>1</v>
      </c>
      <c r="N204" s="119">
        <f t="shared" si="139"/>
        <v>1</v>
      </c>
      <c r="O204" s="119">
        <f t="shared" si="139"/>
        <v>1</v>
      </c>
      <c r="P204" s="119">
        <f t="shared" si="139"/>
        <v>1</v>
      </c>
    </row>
    <row r="205" spans="1:16" s="2" customFormat="1" x14ac:dyDescent="0.25">
      <c r="A205" s="8" t="s">
        <v>11</v>
      </c>
      <c r="E205" s="17">
        <f>SUM(E200:E204)</f>
        <v>3</v>
      </c>
      <c r="F205" s="17">
        <f t="shared" ref="F205:P205" si="140">SUM(F200:F204)</f>
        <v>4</v>
      </c>
      <c r="G205" s="17">
        <f t="shared" si="140"/>
        <v>4.5</v>
      </c>
      <c r="H205" s="17">
        <f t="shared" si="140"/>
        <v>4.5</v>
      </c>
      <c r="I205" s="17">
        <f t="shared" si="140"/>
        <v>4.5</v>
      </c>
      <c r="J205" s="17">
        <f t="shared" si="140"/>
        <v>4.5</v>
      </c>
      <c r="K205" s="17">
        <f t="shared" si="140"/>
        <v>4.5</v>
      </c>
      <c r="L205" s="17">
        <f t="shared" si="140"/>
        <v>4.5</v>
      </c>
      <c r="M205" s="17">
        <f t="shared" si="140"/>
        <v>4.5</v>
      </c>
      <c r="N205" s="17">
        <f t="shared" si="140"/>
        <v>5</v>
      </c>
      <c r="O205" s="17">
        <f t="shared" si="140"/>
        <v>5</v>
      </c>
      <c r="P205" s="17">
        <f t="shared" si="140"/>
        <v>5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22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7" si="141">A188</f>
        <v>6111EE</v>
      </c>
      <c r="B209" s="2" t="str">
        <f t="shared" si="141"/>
        <v>Educational Advising Coordinator (PERS = EE)</v>
      </c>
      <c r="C209" s="123"/>
      <c r="D209" s="85">
        <v>55000</v>
      </c>
      <c r="E209" s="10">
        <f t="shared" ref="E209:E217" si="142">E188*$D209*(1+E$5)</f>
        <v>0</v>
      </c>
      <c r="F209" s="10">
        <f t="shared" ref="F209:P209" si="143">F188*$D209*(1+F$5)</f>
        <v>0</v>
      </c>
      <c r="G209" s="10">
        <f t="shared" si="143"/>
        <v>28600</v>
      </c>
      <c r="H209" s="10">
        <f t="shared" si="143"/>
        <v>29150</v>
      </c>
      <c r="I209" s="10">
        <f t="shared" si="143"/>
        <v>29700.000000000004</v>
      </c>
      <c r="J209" s="10">
        <f t="shared" si="143"/>
        <v>30250.000000000004</v>
      </c>
      <c r="K209" s="10">
        <f t="shared" si="143"/>
        <v>30800.000000000004</v>
      </c>
      <c r="L209" s="10">
        <f t="shared" si="143"/>
        <v>31350.000000000004</v>
      </c>
      <c r="M209" s="10">
        <f t="shared" si="143"/>
        <v>31899.999999999996</v>
      </c>
      <c r="N209" s="10">
        <f t="shared" si="143"/>
        <v>64900</v>
      </c>
      <c r="O209" s="10">
        <f t="shared" si="143"/>
        <v>66000</v>
      </c>
      <c r="P209" s="10">
        <f t="shared" si="143"/>
        <v>67100</v>
      </c>
    </row>
    <row r="210" spans="1:17" s="2" customFormat="1" x14ac:dyDescent="0.25">
      <c r="A210" s="2" t="str">
        <f>A189</f>
        <v>6114ER</v>
      </c>
      <c r="B210" s="2" t="str">
        <f t="shared" si="141"/>
        <v>Director of Site Administration (PERS = ER)</v>
      </c>
      <c r="C210" s="123"/>
      <c r="D210" s="85">
        <v>90000</v>
      </c>
      <c r="E210" s="10">
        <f t="shared" si="142"/>
        <v>90000</v>
      </c>
      <c r="F210" s="10">
        <f t="shared" ref="F210:P210" si="144">F189*$D210*(1+F$5)</f>
        <v>91800</v>
      </c>
      <c r="G210" s="10">
        <f t="shared" si="144"/>
        <v>93600</v>
      </c>
      <c r="H210" s="10">
        <f t="shared" si="144"/>
        <v>95400</v>
      </c>
      <c r="I210" s="10">
        <f t="shared" si="144"/>
        <v>97200</v>
      </c>
      <c r="J210" s="10">
        <f t="shared" si="144"/>
        <v>99000.000000000015</v>
      </c>
      <c r="K210" s="10">
        <f t="shared" si="144"/>
        <v>100800.00000000001</v>
      </c>
      <c r="L210" s="10">
        <f t="shared" si="144"/>
        <v>102600.00000000001</v>
      </c>
      <c r="M210" s="10">
        <f t="shared" si="144"/>
        <v>104400</v>
      </c>
      <c r="N210" s="10">
        <f t="shared" si="144"/>
        <v>106200</v>
      </c>
      <c r="O210" s="10">
        <f t="shared" si="144"/>
        <v>108000</v>
      </c>
      <c r="P210" s="10">
        <f t="shared" si="144"/>
        <v>109800</v>
      </c>
    </row>
    <row r="211" spans="1:17" s="2" customFormat="1" x14ac:dyDescent="0.25">
      <c r="A211" s="2" t="str">
        <f t="shared" si="141"/>
        <v>6117EE</v>
      </c>
      <c r="B211" s="2" t="str">
        <f>B190</f>
        <v>Office Manager (PERS = EE)</v>
      </c>
      <c r="C211" s="123"/>
      <c r="D211" s="85">
        <v>40000</v>
      </c>
      <c r="E211" s="10">
        <f t="shared" si="142"/>
        <v>40000</v>
      </c>
      <c r="F211" s="10">
        <f t="shared" ref="F211:P211" si="145">F190*$D211*(1+F$5)</f>
        <v>40800</v>
      </c>
      <c r="G211" s="10">
        <f t="shared" si="145"/>
        <v>41600</v>
      </c>
      <c r="H211" s="10">
        <f t="shared" si="145"/>
        <v>42400</v>
      </c>
      <c r="I211" s="10">
        <f t="shared" si="145"/>
        <v>43200</v>
      </c>
      <c r="J211" s="10">
        <f t="shared" si="145"/>
        <v>44000</v>
      </c>
      <c r="K211" s="10">
        <f t="shared" si="145"/>
        <v>44800.000000000007</v>
      </c>
      <c r="L211" s="10">
        <f t="shared" si="145"/>
        <v>45600.000000000007</v>
      </c>
      <c r="M211" s="10">
        <f t="shared" si="145"/>
        <v>46400</v>
      </c>
      <c r="N211" s="10">
        <f t="shared" si="145"/>
        <v>47200</v>
      </c>
      <c r="O211" s="10">
        <f t="shared" si="145"/>
        <v>48000</v>
      </c>
      <c r="P211" s="10">
        <f t="shared" si="145"/>
        <v>48800</v>
      </c>
    </row>
    <row r="212" spans="1:17" s="2" customFormat="1" x14ac:dyDescent="0.25">
      <c r="A212" s="2">
        <f t="shared" si="141"/>
        <v>6127</v>
      </c>
      <c r="B212" s="2" t="str">
        <f t="shared" si="141"/>
        <v>Student Worker #1</v>
      </c>
      <c r="C212" s="164" t="s">
        <v>688</v>
      </c>
      <c r="D212" s="85">
        <v>6000</v>
      </c>
      <c r="E212" s="10">
        <f t="shared" si="142"/>
        <v>6000</v>
      </c>
      <c r="F212" s="10">
        <f t="shared" ref="F212:P212" si="146">F191*$D212*(1+F$5)</f>
        <v>6120</v>
      </c>
      <c r="G212" s="10">
        <f t="shared" si="146"/>
        <v>0</v>
      </c>
      <c r="H212" s="10">
        <f t="shared" si="146"/>
        <v>0</v>
      </c>
      <c r="I212" s="10">
        <f t="shared" si="146"/>
        <v>0</v>
      </c>
      <c r="J212" s="10">
        <f t="shared" si="146"/>
        <v>0</v>
      </c>
      <c r="K212" s="10">
        <f t="shared" si="146"/>
        <v>0</v>
      </c>
      <c r="L212" s="10">
        <f t="shared" si="146"/>
        <v>0</v>
      </c>
      <c r="M212" s="10">
        <f t="shared" si="146"/>
        <v>0</v>
      </c>
      <c r="N212" s="10">
        <f t="shared" si="146"/>
        <v>0</v>
      </c>
      <c r="O212" s="10">
        <f t="shared" si="146"/>
        <v>0</v>
      </c>
      <c r="P212" s="10">
        <f t="shared" si="146"/>
        <v>0</v>
      </c>
    </row>
    <row r="213" spans="1:17" s="2" customFormat="1" x14ac:dyDescent="0.25">
      <c r="A213" s="2">
        <f t="shared" si="141"/>
        <v>6127</v>
      </c>
      <c r="B213" s="2" t="str">
        <f t="shared" si="141"/>
        <v>Student Worker #2</v>
      </c>
      <c r="C213" s="164" t="s">
        <v>559</v>
      </c>
      <c r="D213" s="85">
        <v>12000</v>
      </c>
      <c r="E213" s="10">
        <f t="shared" si="142"/>
        <v>0</v>
      </c>
      <c r="F213" s="10">
        <f t="shared" ref="F213:P213" si="147">F192*$D213*(1+F$5)</f>
        <v>12240</v>
      </c>
      <c r="G213" s="10">
        <f t="shared" si="147"/>
        <v>24960</v>
      </c>
      <c r="H213" s="10">
        <f t="shared" si="147"/>
        <v>25440</v>
      </c>
      <c r="I213" s="10">
        <f t="shared" si="147"/>
        <v>25920</v>
      </c>
      <c r="J213" s="10">
        <f t="shared" si="147"/>
        <v>26400.000000000004</v>
      </c>
      <c r="K213" s="10">
        <f t="shared" si="147"/>
        <v>26880.000000000004</v>
      </c>
      <c r="L213" s="10">
        <f t="shared" si="147"/>
        <v>27360.000000000004</v>
      </c>
      <c r="M213" s="10">
        <f t="shared" si="147"/>
        <v>27839.999999999996</v>
      </c>
      <c r="N213" s="10">
        <f t="shared" si="147"/>
        <v>28320</v>
      </c>
      <c r="O213" s="10">
        <f t="shared" si="147"/>
        <v>28800</v>
      </c>
      <c r="P213" s="10">
        <f t="shared" si="147"/>
        <v>29280</v>
      </c>
    </row>
    <row r="214" spans="1:17" x14ac:dyDescent="0.25">
      <c r="A214">
        <f t="shared" si="141"/>
        <v>6127</v>
      </c>
      <c r="B214" t="str">
        <f t="shared" si="141"/>
        <v>Student Worker #3</v>
      </c>
      <c r="C214" s="123"/>
      <c r="D214" s="85">
        <v>0</v>
      </c>
      <c r="E214" s="48">
        <f t="shared" si="142"/>
        <v>0</v>
      </c>
      <c r="F214" s="48">
        <f t="shared" ref="F214:P214" si="148">F193*$D214*(1+F$5)</f>
        <v>0</v>
      </c>
      <c r="G214" s="48">
        <f t="shared" si="148"/>
        <v>0</v>
      </c>
      <c r="H214" s="48">
        <f t="shared" si="148"/>
        <v>0</v>
      </c>
      <c r="I214" s="48">
        <f t="shared" si="148"/>
        <v>0</v>
      </c>
      <c r="J214" s="48">
        <f t="shared" si="148"/>
        <v>0</v>
      </c>
      <c r="K214" s="48">
        <f t="shared" si="148"/>
        <v>0</v>
      </c>
      <c r="L214" s="48">
        <f t="shared" si="148"/>
        <v>0</v>
      </c>
      <c r="M214" s="48">
        <f t="shared" si="148"/>
        <v>0</v>
      </c>
      <c r="N214" s="48">
        <f t="shared" si="148"/>
        <v>0</v>
      </c>
      <c r="O214" s="48">
        <f t="shared" si="148"/>
        <v>0</v>
      </c>
      <c r="P214" s="48">
        <f t="shared" si="148"/>
        <v>0</v>
      </c>
    </row>
    <row r="215" spans="1:17" x14ac:dyDescent="0.25">
      <c r="A215">
        <f t="shared" si="141"/>
        <v>6127</v>
      </c>
      <c r="B215" t="str">
        <f t="shared" si="141"/>
        <v>Student Worker #4</v>
      </c>
      <c r="C215" s="123"/>
      <c r="D215" s="85">
        <v>0</v>
      </c>
      <c r="E215" s="75">
        <f t="shared" si="142"/>
        <v>0</v>
      </c>
      <c r="F215" s="75">
        <f t="shared" ref="F215:P215" si="149">F194*$D215*(1+F$5)</f>
        <v>0</v>
      </c>
      <c r="G215" s="75">
        <f t="shared" si="149"/>
        <v>0</v>
      </c>
      <c r="H215" s="75">
        <f t="shared" si="149"/>
        <v>0</v>
      </c>
      <c r="I215" s="75">
        <f t="shared" si="149"/>
        <v>0</v>
      </c>
      <c r="J215" s="75">
        <f t="shared" si="149"/>
        <v>0</v>
      </c>
      <c r="K215" s="75">
        <f t="shared" si="149"/>
        <v>0</v>
      </c>
      <c r="L215" s="75">
        <f t="shared" si="149"/>
        <v>0</v>
      </c>
      <c r="M215" s="75">
        <f t="shared" si="149"/>
        <v>0</v>
      </c>
      <c r="N215" s="75">
        <f t="shared" si="149"/>
        <v>0</v>
      </c>
      <c r="O215" s="75">
        <f t="shared" si="149"/>
        <v>0</v>
      </c>
      <c r="P215" s="75">
        <f t="shared" si="149"/>
        <v>0</v>
      </c>
    </row>
    <row r="216" spans="1:17" x14ac:dyDescent="0.25">
      <c r="A216">
        <f t="shared" si="141"/>
        <v>6127</v>
      </c>
      <c r="B216" t="str">
        <f t="shared" si="141"/>
        <v>Part-time Worker #1</v>
      </c>
      <c r="C216" s="123"/>
      <c r="D216" s="85">
        <v>0</v>
      </c>
      <c r="E216" s="75">
        <f t="shared" si="142"/>
        <v>0</v>
      </c>
      <c r="F216" s="75">
        <f t="shared" ref="F216:P216" si="150">F195*$D216*(1+F$5)</f>
        <v>0</v>
      </c>
      <c r="G216" s="75">
        <f t="shared" si="150"/>
        <v>0</v>
      </c>
      <c r="H216" s="75">
        <f t="shared" si="150"/>
        <v>0</v>
      </c>
      <c r="I216" s="75">
        <f t="shared" si="150"/>
        <v>0</v>
      </c>
      <c r="J216" s="75">
        <f t="shared" si="150"/>
        <v>0</v>
      </c>
      <c r="K216" s="75">
        <f t="shared" si="150"/>
        <v>0</v>
      </c>
      <c r="L216" s="75">
        <f t="shared" si="150"/>
        <v>0</v>
      </c>
      <c r="M216" s="75">
        <f t="shared" si="150"/>
        <v>0</v>
      </c>
      <c r="N216" s="75">
        <f t="shared" si="150"/>
        <v>0</v>
      </c>
      <c r="O216" s="75">
        <f t="shared" si="150"/>
        <v>0</v>
      </c>
      <c r="P216" s="75">
        <f t="shared" si="150"/>
        <v>0</v>
      </c>
    </row>
    <row r="217" spans="1:17" x14ac:dyDescent="0.25">
      <c r="A217">
        <f t="shared" si="141"/>
        <v>0</v>
      </c>
      <c r="B217" t="str">
        <f t="shared" si="141"/>
        <v>Open_01</v>
      </c>
      <c r="C217" s="123"/>
      <c r="D217" s="85">
        <v>0</v>
      </c>
      <c r="E217" s="49">
        <f t="shared" si="142"/>
        <v>0</v>
      </c>
      <c r="F217" s="49">
        <f t="shared" ref="F217:P217" si="151">F196*$D217*(1+F$5)</f>
        <v>0</v>
      </c>
      <c r="G217" s="49">
        <f t="shared" si="151"/>
        <v>0</v>
      </c>
      <c r="H217" s="49">
        <f t="shared" si="151"/>
        <v>0</v>
      </c>
      <c r="I217" s="49">
        <f t="shared" si="151"/>
        <v>0</v>
      </c>
      <c r="J217" s="49">
        <f t="shared" si="151"/>
        <v>0</v>
      </c>
      <c r="K217" s="49">
        <f t="shared" si="151"/>
        <v>0</v>
      </c>
      <c r="L217" s="49">
        <f t="shared" si="151"/>
        <v>0</v>
      </c>
      <c r="M217" s="49">
        <f t="shared" si="151"/>
        <v>0</v>
      </c>
      <c r="N217" s="49">
        <f t="shared" si="151"/>
        <v>0</v>
      </c>
      <c r="O217" s="49">
        <f t="shared" si="151"/>
        <v>0</v>
      </c>
      <c r="P217" s="49">
        <f t="shared" si="151"/>
        <v>0</v>
      </c>
    </row>
    <row r="218" spans="1:17" x14ac:dyDescent="0.25">
      <c r="C218" s="31"/>
      <c r="E218" s="48">
        <f t="shared" ref="E218:P218" si="152">SUM(E209:E217)</f>
        <v>136000</v>
      </c>
      <c r="F218" s="48">
        <f t="shared" si="152"/>
        <v>150960</v>
      </c>
      <c r="G218" s="48">
        <f t="shared" si="152"/>
        <v>188760</v>
      </c>
      <c r="H218" s="48">
        <f t="shared" si="152"/>
        <v>192390</v>
      </c>
      <c r="I218" s="48">
        <f t="shared" si="152"/>
        <v>196020</v>
      </c>
      <c r="J218" s="48">
        <f t="shared" si="152"/>
        <v>199650</v>
      </c>
      <c r="K218" s="48">
        <f t="shared" si="152"/>
        <v>203280.00000000003</v>
      </c>
      <c r="L218" s="48">
        <f t="shared" si="152"/>
        <v>206910.00000000003</v>
      </c>
      <c r="M218" s="48">
        <f t="shared" si="152"/>
        <v>210540</v>
      </c>
      <c r="N218" s="48">
        <f t="shared" si="152"/>
        <v>246620</v>
      </c>
      <c r="O218" s="48">
        <f t="shared" si="152"/>
        <v>250800</v>
      </c>
      <c r="P218" s="48">
        <f t="shared" si="152"/>
        <v>254980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745</v>
      </c>
      <c r="D222" s="2"/>
      <c r="E222" s="110">
        <v>2</v>
      </c>
      <c r="F222" s="155">
        <f>E222*1.03</f>
        <v>2.06</v>
      </c>
      <c r="G222" s="155">
        <f t="shared" ref="G222:P222" si="153">F222*1.03</f>
        <v>2.1217999999999999</v>
      </c>
      <c r="H222" s="155">
        <f t="shared" si="153"/>
        <v>2.185454</v>
      </c>
      <c r="I222" s="155">
        <f t="shared" si="153"/>
        <v>2.2510176200000003</v>
      </c>
      <c r="J222" s="155">
        <f t="shared" si="153"/>
        <v>2.3185481486000001</v>
      </c>
      <c r="K222" s="155">
        <f t="shared" si="153"/>
        <v>2.3881045930580003</v>
      </c>
      <c r="L222" s="155">
        <f t="shared" si="153"/>
        <v>2.4597477308497404</v>
      </c>
      <c r="M222" s="155">
        <f t="shared" si="153"/>
        <v>2.5335401627752328</v>
      </c>
      <c r="N222" s="155">
        <f t="shared" si="153"/>
        <v>2.6095463676584898</v>
      </c>
      <c r="O222" s="155">
        <f t="shared" si="153"/>
        <v>2.6878327586882444</v>
      </c>
      <c r="P222" s="155">
        <f t="shared" si="153"/>
        <v>2.7684677414488919</v>
      </c>
      <c r="Q222" s="155"/>
    </row>
    <row r="223" spans="1:17" x14ac:dyDescent="0.25">
      <c r="A223" s="16"/>
      <c r="B223" s="2" t="s">
        <v>461</v>
      </c>
      <c r="C223" s="6"/>
      <c r="D223" s="2"/>
      <c r="E223" s="48">
        <v>1500</v>
      </c>
      <c r="F223" s="48">
        <v>1500</v>
      </c>
      <c r="G223" s="48">
        <v>1500</v>
      </c>
      <c r="H223" s="48">
        <v>1500</v>
      </c>
      <c r="I223" s="48">
        <v>1500</v>
      </c>
      <c r="J223" s="48">
        <v>1500</v>
      </c>
      <c r="K223" s="48">
        <v>1500</v>
      </c>
      <c r="L223" s="48">
        <v>1500</v>
      </c>
      <c r="M223" s="48">
        <v>1500</v>
      </c>
      <c r="N223" s="48">
        <v>1500</v>
      </c>
      <c r="O223" s="48">
        <v>1500</v>
      </c>
      <c r="P223" s="48">
        <v>1500</v>
      </c>
      <c r="Q223" s="10"/>
    </row>
    <row r="224" spans="1:17" x14ac:dyDescent="0.25">
      <c r="A224" s="2"/>
      <c r="B224" s="2" t="s">
        <v>462</v>
      </c>
      <c r="C224" s="31"/>
      <c r="E224" s="48">
        <f>E222*E223*12</f>
        <v>36000</v>
      </c>
      <c r="F224" s="48">
        <f>F222*F223*12</f>
        <v>37080</v>
      </c>
      <c r="G224" s="48">
        <f t="shared" ref="G224:P224" si="154">G222*G223*12</f>
        <v>38192.399999999994</v>
      </c>
      <c r="H224" s="48">
        <f t="shared" si="154"/>
        <v>39338.171999999999</v>
      </c>
      <c r="I224" s="48">
        <f t="shared" si="154"/>
        <v>40518.317160000006</v>
      </c>
      <c r="J224" s="48">
        <f t="shared" si="154"/>
        <v>41733.866674800003</v>
      </c>
      <c r="K224" s="48">
        <f t="shared" si="154"/>
        <v>42985.882675044006</v>
      </c>
      <c r="L224" s="48">
        <f t="shared" si="154"/>
        <v>44275.459155295328</v>
      </c>
      <c r="M224" s="48">
        <f t="shared" si="154"/>
        <v>45603.722929954187</v>
      </c>
      <c r="N224" s="48">
        <f t="shared" si="154"/>
        <v>46971.834617852815</v>
      </c>
      <c r="O224" s="48">
        <f t="shared" si="154"/>
        <v>48380.989656388403</v>
      </c>
      <c r="P224" s="48">
        <f t="shared" si="154"/>
        <v>49832.419346080052</v>
      </c>
      <c r="Q224" s="10"/>
    </row>
  </sheetData>
  <printOptions horizontalCentered="1"/>
  <pageMargins left="0.7" right="0.7" top="0.75" bottom="0.75" header="0.3" footer="0.3"/>
  <pageSetup paperSize="17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BH224"/>
  <sheetViews>
    <sheetView workbookViewId="0">
      <selection activeCell="B14" sqref="B14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5.5703125" bestFit="1" customWidth="1"/>
    <col min="5" max="16" width="12.71093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Site6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>F4+E5</f>
        <v>0.02</v>
      </c>
      <c r="G5" s="81">
        <f t="shared" ref="G5:P5" si="1">G4+F5</f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</v>
      </c>
      <c r="F13" s="93">
        <v>1</v>
      </c>
      <c r="G13" s="93">
        <v>1.1000000000000001</v>
      </c>
      <c r="H13" s="93">
        <v>1.08</v>
      </c>
      <c r="I13" s="93">
        <v>1.06</v>
      </c>
      <c r="J13" s="93">
        <v>1.02</v>
      </c>
      <c r="K13" s="64">
        <f t="shared" ref="K13" si="8">J13</f>
        <v>1.02</v>
      </c>
      <c r="L13" s="64">
        <f t="shared" ref="G13:P16" si="9">K13</f>
        <v>1.02</v>
      </c>
      <c r="M13" s="64">
        <f t="shared" si="9"/>
        <v>1.02</v>
      </c>
      <c r="N13" s="64">
        <f t="shared" si="9"/>
        <v>1.02</v>
      </c>
      <c r="O13" s="64">
        <f t="shared" si="9"/>
        <v>1.02</v>
      </c>
      <c r="P13" s="64">
        <f t="shared" si="9"/>
        <v>1.02</v>
      </c>
    </row>
    <row r="14" spans="1:60" x14ac:dyDescent="0.25">
      <c r="A14" s="30"/>
      <c r="B14" t="s">
        <v>141</v>
      </c>
      <c r="E14" s="93">
        <v>0.3</v>
      </c>
      <c r="F14" s="64">
        <f>E14</f>
        <v>0.3</v>
      </c>
      <c r="G14" s="64">
        <f t="shared" si="9"/>
        <v>0.3</v>
      </c>
      <c r="H14" s="64">
        <f t="shared" si="9"/>
        <v>0.3</v>
      </c>
      <c r="I14" s="64">
        <f t="shared" si="9"/>
        <v>0.3</v>
      </c>
      <c r="J14" s="64">
        <f t="shared" si="9"/>
        <v>0.3</v>
      </c>
      <c r="K14" s="64">
        <f t="shared" si="9"/>
        <v>0.3</v>
      </c>
      <c r="L14" s="64">
        <f t="shared" si="9"/>
        <v>0.3</v>
      </c>
      <c r="M14" s="64">
        <f t="shared" si="9"/>
        <v>0.3</v>
      </c>
      <c r="N14" s="64">
        <f t="shared" si="9"/>
        <v>0.3</v>
      </c>
      <c r="O14" s="64">
        <f t="shared" si="9"/>
        <v>0.3</v>
      </c>
      <c r="P14" s="64">
        <f t="shared" si="9"/>
        <v>0.3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10">F15</f>
        <v>0.1</v>
      </c>
      <c r="H15" s="64">
        <f t="shared" si="10"/>
        <v>0.1</v>
      </c>
      <c r="I15" s="64">
        <f t="shared" si="10"/>
        <v>0.1</v>
      </c>
      <c r="J15" s="64">
        <f t="shared" si="9"/>
        <v>0.1</v>
      </c>
      <c r="K15" s="64">
        <f t="shared" si="9"/>
        <v>0.1</v>
      </c>
      <c r="L15" s="64">
        <f t="shared" si="9"/>
        <v>0.1</v>
      </c>
      <c r="M15" s="64">
        <f t="shared" si="9"/>
        <v>0.1</v>
      </c>
      <c r="N15" s="64">
        <f t="shared" si="9"/>
        <v>0.1</v>
      </c>
      <c r="O15" s="64">
        <f t="shared" si="9"/>
        <v>0.1</v>
      </c>
      <c r="P15" s="64">
        <f t="shared" si="9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10"/>
        <v>0.01</v>
      </c>
      <c r="H16" s="64">
        <f t="shared" si="10"/>
        <v>0.01</v>
      </c>
      <c r="I16" s="64">
        <f t="shared" si="10"/>
        <v>0.01</v>
      </c>
      <c r="J16" s="64">
        <f t="shared" si="9"/>
        <v>0.01</v>
      </c>
      <c r="K16" s="64">
        <f t="shared" si="9"/>
        <v>0.01</v>
      </c>
      <c r="L16" s="64">
        <f t="shared" si="9"/>
        <v>0.01</v>
      </c>
      <c r="M16" s="64">
        <f t="shared" si="9"/>
        <v>0.01</v>
      </c>
      <c r="N16" s="64">
        <f t="shared" si="9"/>
        <v>0.01</v>
      </c>
      <c r="O16" s="64">
        <f t="shared" si="9"/>
        <v>0.01</v>
      </c>
      <c r="P16" s="64">
        <f t="shared" si="9"/>
        <v>0.01</v>
      </c>
    </row>
    <row r="17" spans="1:16" x14ac:dyDescent="0.25">
      <c r="A17" s="30"/>
      <c r="B17" s="18" t="s">
        <v>367</v>
      </c>
      <c r="E17" s="76">
        <f t="shared" ref="E17:P17" si="11">E13*E182</f>
        <v>0</v>
      </c>
      <c r="F17" s="31">
        <f t="shared" si="11"/>
        <v>0</v>
      </c>
      <c r="G17" s="31">
        <f t="shared" si="11"/>
        <v>99.000000000000014</v>
      </c>
      <c r="H17" s="31">
        <f t="shared" si="11"/>
        <v>140.4</v>
      </c>
      <c r="I17" s="31">
        <f t="shared" si="11"/>
        <v>159</v>
      </c>
      <c r="J17" s="31">
        <f t="shared" si="11"/>
        <v>161.16</v>
      </c>
      <c r="K17" s="31">
        <f t="shared" si="11"/>
        <v>169.32</v>
      </c>
      <c r="L17" s="31">
        <f t="shared" si="11"/>
        <v>177.48</v>
      </c>
      <c r="M17" s="31">
        <f t="shared" si="11"/>
        <v>186.66</v>
      </c>
      <c r="N17" s="31">
        <f t="shared" si="11"/>
        <v>195.84</v>
      </c>
      <c r="O17" s="31">
        <f t="shared" si="11"/>
        <v>206.04</v>
      </c>
      <c r="P17" s="31">
        <f t="shared" si="11"/>
        <v>216.24</v>
      </c>
    </row>
    <row r="18" spans="1:16" x14ac:dyDescent="0.25">
      <c r="A18" s="30"/>
      <c r="B18" s="18" t="s">
        <v>145</v>
      </c>
      <c r="E18" s="31">
        <f>+E17*E14</f>
        <v>0</v>
      </c>
      <c r="F18" s="31">
        <f>+F17*F14</f>
        <v>0</v>
      </c>
      <c r="G18" s="31">
        <f>+G17*G14</f>
        <v>29.700000000000003</v>
      </c>
      <c r="H18" s="31">
        <f>+H17*H14</f>
        <v>42.12</v>
      </c>
      <c r="I18" s="31">
        <f>+I17*I14</f>
        <v>47.699999999999996</v>
      </c>
      <c r="J18" s="31">
        <f t="shared" ref="J18:P18" si="12">+J17*J14</f>
        <v>48.347999999999999</v>
      </c>
      <c r="K18" s="31">
        <f t="shared" si="12"/>
        <v>50.795999999999999</v>
      </c>
      <c r="L18" s="31">
        <f t="shared" si="12"/>
        <v>53.243999999999993</v>
      </c>
      <c r="M18" s="31">
        <f t="shared" si="12"/>
        <v>55.997999999999998</v>
      </c>
      <c r="N18" s="31">
        <f t="shared" si="12"/>
        <v>58.751999999999995</v>
      </c>
      <c r="O18" s="31">
        <f t="shared" si="12"/>
        <v>61.811999999999998</v>
      </c>
      <c r="P18" s="31">
        <f t="shared" si="12"/>
        <v>64.872</v>
      </c>
    </row>
    <row r="19" spans="1:16" x14ac:dyDescent="0.25">
      <c r="A19" s="30"/>
      <c r="B19" s="18" t="s">
        <v>146</v>
      </c>
      <c r="E19" s="31">
        <f t="shared" ref="E19:P19" si="13">E182*E15</f>
        <v>0</v>
      </c>
      <c r="F19" s="31">
        <f t="shared" si="13"/>
        <v>0</v>
      </c>
      <c r="G19" s="31">
        <f t="shared" si="13"/>
        <v>9</v>
      </c>
      <c r="H19" s="31">
        <f t="shared" si="13"/>
        <v>13</v>
      </c>
      <c r="I19" s="31">
        <f t="shared" si="13"/>
        <v>15</v>
      </c>
      <c r="J19" s="31">
        <f t="shared" si="13"/>
        <v>15.8</v>
      </c>
      <c r="K19" s="31">
        <f t="shared" si="13"/>
        <v>16.600000000000001</v>
      </c>
      <c r="L19" s="31">
        <f t="shared" si="13"/>
        <v>17.400000000000002</v>
      </c>
      <c r="M19" s="31">
        <f t="shared" si="13"/>
        <v>18.3</v>
      </c>
      <c r="N19" s="31">
        <f t="shared" si="13"/>
        <v>19.200000000000003</v>
      </c>
      <c r="O19" s="31">
        <f t="shared" si="13"/>
        <v>20.200000000000003</v>
      </c>
      <c r="P19" s="31">
        <f t="shared" si="13"/>
        <v>21.200000000000003</v>
      </c>
    </row>
    <row r="20" spans="1:16" x14ac:dyDescent="0.25">
      <c r="A20" s="30"/>
      <c r="B20" s="18" t="s">
        <v>147</v>
      </c>
      <c r="E20" s="31">
        <f t="shared" ref="E20:P20" si="14">E182*E16</f>
        <v>0</v>
      </c>
      <c r="F20" s="31">
        <f t="shared" si="14"/>
        <v>0</v>
      </c>
      <c r="G20" s="31">
        <f t="shared" si="14"/>
        <v>0.9</v>
      </c>
      <c r="H20" s="31">
        <f t="shared" si="14"/>
        <v>1.3</v>
      </c>
      <c r="I20" s="31">
        <f t="shared" si="14"/>
        <v>1.5</v>
      </c>
      <c r="J20" s="31">
        <f t="shared" si="14"/>
        <v>1.58</v>
      </c>
      <c r="K20" s="31">
        <f t="shared" si="14"/>
        <v>1.6600000000000001</v>
      </c>
      <c r="L20" s="31">
        <f t="shared" si="14"/>
        <v>1.74</v>
      </c>
      <c r="M20" s="31">
        <f t="shared" si="14"/>
        <v>1.83</v>
      </c>
      <c r="N20" s="31">
        <f t="shared" si="14"/>
        <v>1.92</v>
      </c>
      <c r="O20" s="31">
        <f t="shared" si="14"/>
        <v>2.02</v>
      </c>
      <c r="P20" s="31">
        <f t="shared" si="14"/>
        <v>2.12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5">F3</f>
        <v>FY 2019-2020</v>
      </c>
      <c r="G22" s="3" t="str">
        <f t="shared" si="15"/>
        <v>FY 2020-2021</v>
      </c>
      <c r="H22" s="3" t="str">
        <f t="shared" si="15"/>
        <v>FY 2021-2022</v>
      </c>
      <c r="I22" s="3" t="str">
        <f t="shared" si="15"/>
        <v>FY 2022-2023</v>
      </c>
      <c r="J22" s="3" t="str">
        <f t="shared" si="15"/>
        <v>FY 2023-2024</v>
      </c>
      <c r="K22" s="3" t="str">
        <f t="shared" si="15"/>
        <v>FY 2024-2025</v>
      </c>
      <c r="L22" s="3" t="str">
        <f t="shared" si="15"/>
        <v>FY 2025-2026</v>
      </c>
      <c r="M22" s="3" t="str">
        <f t="shared" si="15"/>
        <v>FY 2026-2027</v>
      </c>
      <c r="N22" s="3" t="str">
        <f t="shared" si="15"/>
        <v>FY 2027-2028</v>
      </c>
      <c r="O22" s="3" t="str">
        <f t="shared" si="15"/>
        <v>FY 2027-2028</v>
      </c>
      <c r="P22" s="3" t="str">
        <f t="shared" si="15"/>
        <v>FY 2028-2029</v>
      </c>
    </row>
    <row r="23" spans="1:16" s="2" customFormat="1" hidden="1" outlineLevel="1" x14ac:dyDescent="0.25">
      <c r="A23" s="16"/>
      <c r="B23" s="2" t="s">
        <v>366</v>
      </c>
      <c r="D23" s="329">
        <f>1-CSO!D23</f>
        <v>0.7</v>
      </c>
      <c r="E23" s="6">
        <f>(0.5*(E17*Revenue!D8)*$D23)+(0.5*(E182*Revenue!D8)*$D23)</f>
        <v>0</v>
      </c>
      <c r="F23" s="6">
        <f>(0.5*(F17*Revenue!E8)*$D23)+(0.5*(F182*Revenue!E8)*$D23)</f>
        <v>0</v>
      </c>
      <c r="G23" s="6">
        <f>(0.5*(G17*Revenue!F8)*$D23)+(0.5*(G182*Revenue!F8)*$D23)</f>
        <v>449878.00528125005</v>
      </c>
      <c r="H23" s="6">
        <f>(0.5*(H17*Revenue!G8)*$D23)+(0.5*(H182*Revenue!G8)*$D23)</f>
        <v>648462.24985587504</v>
      </c>
      <c r="I23" s="6">
        <f>(0.5*(I17*Revenue!H8)*$D23)+(0.5*(I182*Revenue!H8)*$D23)</f>
        <v>746588.929251133</v>
      </c>
      <c r="J23" s="6">
        <f>(0.5*(J17*Revenue!I8)*$D23)+(0.5*(J182*Revenue!I8)*$D23)</f>
        <v>776920.49378556665</v>
      </c>
      <c r="K23" s="6">
        <f>(0.5*(K17*Revenue!J8)*$D23)+(0.5*(K182*Revenue!J8)*$D23)</f>
        <v>822380.17710865266</v>
      </c>
      <c r="L23" s="6">
        <f>(0.5*(L17*Revenue!K8)*$D23)+(0.5*(L182*Revenue!K8)*$D23)</f>
        <v>868478.05390380928</v>
      </c>
      <c r="M23" s="6">
        <f>(0.5*(M17*Revenue!L8)*$D23)+(0.5*(M182*Revenue!L8)*$D23)</f>
        <v>920249.82754816138</v>
      </c>
      <c r="N23" s="6">
        <f>(0.5*(N17*Revenue!M8)*$D23)+(0.5*(N182*Revenue!M8)*$D23)</f>
        <v>972749.32590664667</v>
      </c>
      <c r="O23" s="6">
        <f>(0.5*(O17*Revenue!N8)*$D23)+(0.5*(O182*Revenue!N8)*$D23)</f>
        <v>1031088.9534473501</v>
      </c>
      <c r="P23" s="6">
        <f>(0.5*(P17*Revenue!O8)*$D23)+(0.5*(P182*Revenue!O8)*$D23)</f>
        <v>1090248.958251582</v>
      </c>
    </row>
    <row r="24" spans="1:16" s="2" customFormat="1" collapsed="1" x14ac:dyDescent="0.25">
      <c r="A24" s="16"/>
      <c r="B24" s="16" t="s">
        <v>427</v>
      </c>
      <c r="D24" s="329"/>
      <c r="E24" s="183">
        <f>SUM(E23:E23)</f>
        <v>0</v>
      </c>
      <c r="F24" s="183">
        <f t="shared" ref="F24:P24" si="16">SUM(F23:F23)</f>
        <v>0</v>
      </c>
      <c r="G24" s="183">
        <f>SUM(G23:G23)</f>
        <v>449878.00528125005</v>
      </c>
      <c r="H24" s="183">
        <f t="shared" si="16"/>
        <v>648462.24985587504</v>
      </c>
      <c r="I24" s="183">
        <f t="shared" si="16"/>
        <v>746588.929251133</v>
      </c>
      <c r="J24" s="183">
        <f t="shared" si="16"/>
        <v>776920.49378556665</v>
      </c>
      <c r="K24" s="183">
        <f t="shared" si="16"/>
        <v>822380.17710865266</v>
      </c>
      <c r="L24" s="183">
        <f t="shared" si="16"/>
        <v>868478.05390380928</v>
      </c>
      <c r="M24" s="183">
        <f t="shared" si="16"/>
        <v>920249.82754816138</v>
      </c>
      <c r="N24" s="183">
        <f t="shared" si="16"/>
        <v>972749.32590664667</v>
      </c>
      <c r="O24" s="183">
        <f t="shared" si="16"/>
        <v>1031088.9534473501</v>
      </c>
      <c r="P24" s="183">
        <f t="shared" si="16"/>
        <v>1090248.958251582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708</v>
      </c>
      <c r="E25" s="6">
        <f>IF($D25="YES",0,E$17*Revenue!D$12)</f>
        <v>0</v>
      </c>
      <c r="F25" s="6">
        <f>IF($D25="YES",0,F$17*Revenue!E$12)</f>
        <v>0</v>
      </c>
      <c r="G25" s="6">
        <f>IF($D25="YES",0,G$17*Revenue!F$12)</f>
        <v>0</v>
      </c>
      <c r="H25" s="6">
        <f>IF($D25="YES",0,H$17*Revenue!G$12)</f>
        <v>0</v>
      </c>
      <c r="I25" s="6">
        <f>IF($D25="YES",0,I$17*Revenue!H$12)</f>
        <v>0</v>
      </c>
      <c r="J25" s="6">
        <f>IF($D25="YES",0,J$17*Revenue!I$12)</f>
        <v>0</v>
      </c>
      <c r="K25" s="6">
        <f>IF($D25="YES",0,K$17*Revenue!J$12)</f>
        <v>0</v>
      </c>
      <c r="L25" s="6">
        <f>IF($D25="YES",0,L$17*Revenue!K$12)</f>
        <v>0</v>
      </c>
      <c r="M25" s="6">
        <f>IF($D25="YES",0,M$17*Revenue!L$12)</f>
        <v>0</v>
      </c>
      <c r="N25" s="6">
        <f>IF($D25="YES",0,N$17*Revenue!M$12)</f>
        <v>0</v>
      </c>
      <c r="O25" s="6">
        <f>IF($D25="YES",0,O$17*Revenue!N$12)</f>
        <v>0</v>
      </c>
      <c r="P25" s="6">
        <f>IF($D25="YES",0,P$17*Revenue!O$12)</f>
        <v>0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tr">
        <f>Assumptions!B15</f>
        <v>YES</v>
      </c>
      <c r="E27" s="6">
        <f>IF($D27="YES",0,E$17*Revenue!D$19)</f>
        <v>0</v>
      </c>
      <c r="F27" s="6">
        <f>IF($D27="YES",0,F$17*Revenue!E$19)</f>
        <v>0</v>
      </c>
      <c r="G27" s="6">
        <f>IF($D27="YES",0,G$17*Revenue!F$19)</f>
        <v>0</v>
      </c>
      <c r="H27" s="6">
        <f>IF($D27="YES",0,H$17*Revenue!G$19)</f>
        <v>0</v>
      </c>
      <c r="I27" s="6">
        <f>IF($D27="YES",0,I$17*Revenue!H$19)</f>
        <v>0</v>
      </c>
      <c r="J27" s="6">
        <f>IF($D27="YES",0,J$17*Revenue!I$19)</f>
        <v>0</v>
      </c>
      <c r="K27" s="6">
        <f>IF($D27="YES",0,K$17*Revenue!J$19)</f>
        <v>0</v>
      </c>
      <c r="L27" s="6">
        <f>IF($D27="YES",0,L$17*Revenue!K$19)</f>
        <v>0</v>
      </c>
      <c r="M27" s="6">
        <f>IF($D27="YES",0,M$17*Revenue!L$19)</f>
        <v>0</v>
      </c>
      <c r="N27" s="6">
        <f>IF($D27="YES",0,N$17*Revenue!M$19)</f>
        <v>0</v>
      </c>
      <c r="O27" s="6">
        <f>IF($D27="YES",0,O$17*Revenue!N$19)</f>
        <v>0</v>
      </c>
      <c r="P27" s="6">
        <f>IF($D27="YES",0,P$17*Revenue!O$19)</f>
        <v>0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7">F125*0.5</f>
        <v>0</v>
      </c>
      <c r="G28" s="32">
        <f t="shared" si="17"/>
        <v>0</v>
      </c>
      <c r="H28" s="32">
        <f t="shared" si="17"/>
        <v>0</v>
      </c>
      <c r="I28" s="32">
        <f t="shared" si="17"/>
        <v>0</v>
      </c>
      <c r="J28" s="32">
        <f t="shared" si="17"/>
        <v>0</v>
      </c>
      <c r="K28" s="32">
        <f t="shared" si="17"/>
        <v>0</v>
      </c>
      <c r="L28" s="32">
        <f t="shared" si="17"/>
        <v>0</v>
      </c>
      <c r="M28" s="32">
        <f t="shared" si="17"/>
        <v>0</v>
      </c>
      <c r="N28" s="32">
        <f t="shared" si="17"/>
        <v>0</v>
      </c>
      <c r="O28" s="32">
        <f t="shared" si="17"/>
        <v>0</v>
      </c>
      <c r="P28" s="32">
        <f t="shared" si="17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8">SUM(E25:E28)</f>
        <v>0</v>
      </c>
      <c r="F29" s="174">
        <f t="shared" si="18"/>
        <v>0</v>
      </c>
      <c r="G29" s="174">
        <f t="shared" si="18"/>
        <v>0</v>
      </c>
      <c r="H29" s="174">
        <f t="shared" si="18"/>
        <v>0</v>
      </c>
      <c r="I29" s="174">
        <f t="shared" si="18"/>
        <v>0</v>
      </c>
      <c r="J29" s="174">
        <f t="shared" si="18"/>
        <v>0</v>
      </c>
      <c r="K29" s="174">
        <f t="shared" si="18"/>
        <v>0</v>
      </c>
      <c r="L29" s="174">
        <f t="shared" si="18"/>
        <v>0</v>
      </c>
      <c r="M29" s="174">
        <f t="shared" si="18"/>
        <v>0</v>
      </c>
      <c r="N29" s="174">
        <f t="shared" si="18"/>
        <v>0</v>
      </c>
      <c r="O29" s="174">
        <f t="shared" si="18"/>
        <v>0</v>
      </c>
      <c r="P29" s="174">
        <f t="shared" si="18"/>
        <v>0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708</v>
      </c>
      <c r="E30" s="6">
        <f>IF($D30="YES",0,E$17*Revenue!D$17)</f>
        <v>0</v>
      </c>
      <c r="F30" s="6">
        <f>IF($D30="YES",0,F$17*Revenue!E$17)</f>
        <v>0</v>
      </c>
      <c r="G30" s="6">
        <f>IF($D30="YES",0,G$17*Revenue!F$17)</f>
        <v>0</v>
      </c>
      <c r="H30" s="6">
        <f>IF($D30="YES",0,H$17*Revenue!G$17)</f>
        <v>0</v>
      </c>
      <c r="I30" s="6">
        <f>IF($D30="YES",0,I$17*Revenue!H$17)</f>
        <v>0</v>
      </c>
      <c r="J30" s="6">
        <f>IF($D30="YES",0,J$17*Revenue!I$17)</f>
        <v>0</v>
      </c>
      <c r="K30" s="6">
        <f>IF($D30="YES",0,K$17*Revenue!J$17)</f>
        <v>0</v>
      </c>
      <c r="L30" s="6">
        <f>IF($D30="YES",0,L$17*Revenue!K$17)</f>
        <v>0</v>
      </c>
      <c r="M30" s="6">
        <f>IF($D30="YES",0,M$17*Revenue!L$17)</f>
        <v>0</v>
      </c>
      <c r="N30" s="6">
        <f>IF($D30="YES",0,N$17*Revenue!M$17)</f>
        <v>0</v>
      </c>
      <c r="O30" s="6">
        <f>IF($D30="YES",0,O$17*Revenue!N$17)</f>
        <v>0</v>
      </c>
      <c r="P30" s="6">
        <f>IF($D30="YES",0,P$17*Revenue!O$17)</f>
        <v>0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83">
        <f t="shared" ref="E34:P34" si="19">SUM(E30:E33)</f>
        <v>0</v>
      </c>
      <c r="F34" s="183">
        <f t="shared" si="19"/>
        <v>0</v>
      </c>
      <c r="G34" s="183">
        <f t="shared" si="19"/>
        <v>0</v>
      </c>
      <c r="H34" s="174">
        <f t="shared" si="19"/>
        <v>0</v>
      </c>
      <c r="I34" s="174">
        <f t="shared" si="19"/>
        <v>0</v>
      </c>
      <c r="J34" s="174">
        <f t="shared" si="19"/>
        <v>0</v>
      </c>
      <c r="K34" s="174">
        <f t="shared" si="19"/>
        <v>0</v>
      </c>
      <c r="L34" s="174">
        <f t="shared" si="19"/>
        <v>0</v>
      </c>
      <c r="M34" s="174">
        <f t="shared" si="19"/>
        <v>0</v>
      </c>
      <c r="N34" s="174">
        <f t="shared" si="19"/>
        <v>0</v>
      </c>
      <c r="O34" s="174">
        <f t="shared" si="19"/>
        <v>0</v>
      </c>
      <c r="P34" s="174">
        <f t="shared" si="19"/>
        <v>0</v>
      </c>
    </row>
    <row r="35" spans="1:16" s="2" customFormat="1" hidden="1" outlineLevel="1" x14ac:dyDescent="0.25">
      <c r="A35" s="16"/>
      <c r="B35" s="6" t="s">
        <v>271</v>
      </c>
      <c r="D35" s="82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107">
        <v>0</v>
      </c>
      <c r="F37" s="107">
        <v>0</v>
      </c>
      <c r="G37" s="107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83">
        <f>SUM(E35:E37)</f>
        <v>0</v>
      </c>
      <c r="F38" s="183">
        <f t="shared" ref="F38:P38" si="20">SUM(F35:F37)</f>
        <v>0</v>
      </c>
      <c r="G38" s="183">
        <f t="shared" si="20"/>
        <v>0</v>
      </c>
      <c r="H38" s="174">
        <f t="shared" si="20"/>
        <v>0</v>
      </c>
      <c r="I38" s="174">
        <f t="shared" si="20"/>
        <v>0</v>
      </c>
      <c r="J38" s="174">
        <f t="shared" si="20"/>
        <v>0</v>
      </c>
      <c r="K38" s="174">
        <f t="shared" si="20"/>
        <v>0</v>
      </c>
      <c r="L38" s="174">
        <f t="shared" si="20"/>
        <v>0</v>
      </c>
      <c r="M38" s="174">
        <f t="shared" si="20"/>
        <v>0</v>
      </c>
      <c r="N38" s="174">
        <f t="shared" si="20"/>
        <v>0</v>
      </c>
      <c r="O38" s="174">
        <f t="shared" si="20"/>
        <v>0</v>
      </c>
      <c r="P38" s="174">
        <f t="shared" si="20"/>
        <v>0</v>
      </c>
    </row>
    <row r="39" spans="1:16" s="2" customFormat="1" ht="15.75" thickBot="1" x14ac:dyDescent="0.3">
      <c r="A39" s="16" t="s">
        <v>210</v>
      </c>
      <c r="E39" s="204">
        <f>E34+E29+E24+E38</f>
        <v>0</v>
      </c>
      <c r="F39" s="204">
        <f t="shared" ref="F39:P39" si="21">F34+F29+F24+F38</f>
        <v>0</v>
      </c>
      <c r="G39" s="204">
        <f t="shared" si="21"/>
        <v>449878.00528125005</v>
      </c>
      <c r="H39" s="204">
        <f t="shared" si="21"/>
        <v>648462.24985587504</v>
      </c>
      <c r="I39" s="204">
        <f t="shared" si="21"/>
        <v>746588.929251133</v>
      </c>
      <c r="J39" s="204">
        <f t="shared" si="21"/>
        <v>776920.49378556665</v>
      </c>
      <c r="K39" s="204">
        <f t="shared" si="21"/>
        <v>822380.17710865266</v>
      </c>
      <c r="L39" s="204">
        <f t="shared" si="21"/>
        <v>868478.05390380928</v>
      </c>
      <c r="M39" s="204">
        <f t="shared" si="21"/>
        <v>920249.82754816138</v>
      </c>
      <c r="N39" s="204">
        <f t="shared" si="21"/>
        <v>972749.32590664667</v>
      </c>
      <c r="O39" s="204">
        <f t="shared" si="21"/>
        <v>1031088.9534473501</v>
      </c>
      <c r="P39" s="204">
        <f t="shared" si="21"/>
        <v>1090248.958251582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2">E3</f>
        <v>FY 2018-2019</v>
      </c>
      <c r="F41" s="3" t="str">
        <f t="shared" si="22"/>
        <v>FY 2019-2020</v>
      </c>
      <c r="G41" s="3" t="str">
        <f t="shared" si="22"/>
        <v>FY 2020-2021</v>
      </c>
      <c r="H41" s="3" t="str">
        <f t="shared" si="22"/>
        <v>FY 2021-2022</v>
      </c>
      <c r="I41" s="3" t="str">
        <f t="shared" si="22"/>
        <v>FY 2022-2023</v>
      </c>
      <c r="J41" s="3" t="str">
        <f t="shared" si="22"/>
        <v>FY 2023-2024</v>
      </c>
      <c r="K41" s="3" t="str">
        <f t="shared" si="22"/>
        <v>FY 2024-2025</v>
      </c>
      <c r="L41" s="3" t="str">
        <f t="shared" si="22"/>
        <v>FY 2025-2026</v>
      </c>
      <c r="M41" s="3" t="str">
        <f t="shared" si="22"/>
        <v>FY 2026-2027</v>
      </c>
      <c r="N41" s="3" t="str">
        <f t="shared" si="22"/>
        <v>FY 2027-2028</v>
      </c>
      <c r="O41" s="3" t="str">
        <f t="shared" si="22"/>
        <v>FY 2027-2028</v>
      </c>
      <c r="P41" s="3" t="str">
        <f t="shared" si="22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195" t="s">
        <v>750</v>
      </c>
      <c r="D42" s="331">
        <v>1.144827</v>
      </c>
      <c r="E42" s="294">
        <f>IF(E$182=0,0,SUMIFS(E$209:E$217,$A$209:$A$217,$A42))*$D42</f>
        <v>0</v>
      </c>
      <c r="F42" s="294">
        <f t="shared" ref="F42:P42" si="23">IF(F$182=0,0,SUMIFS(F$209:F$217,$A$209:$A$217,$A42))*$D42</f>
        <v>0</v>
      </c>
      <c r="G42" s="294">
        <f t="shared" si="23"/>
        <v>0</v>
      </c>
      <c r="H42" s="294">
        <f t="shared" si="23"/>
        <v>0</v>
      </c>
      <c r="I42" s="294">
        <f t="shared" si="23"/>
        <v>0</v>
      </c>
      <c r="J42" s="294">
        <f t="shared" si="23"/>
        <v>0</v>
      </c>
      <c r="K42" s="294">
        <f t="shared" si="23"/>
        <v>0</v>
      </c>
      <c r="L42" s="294">
        <f t="shared" si="23"/>
        <v>0</v>
      </c>
      <c r="M42" s="294">
        <f t="shared" si="23"/>
        <v>0</v>
      </c>
      <c r="N42" s="294">
        <f t="shared" si="23"/>
        <v>0</v>
      </c>
      <c r="O42" s="294">
        <f t="shared" si="23"/>
        <v>0</v>
      </c>
      <c r="P42" s="294">
        <f t="shared" si="23"/>
        <v>0</v>
      </c>
    </row>
    <row r="43" spans="1:16" s="2" customFormat="1" hidden="1" outlineLevel="2" x14ac:dyDescent="0.25">
      <c r="A43" s="62" t="s">
        <v>402</v>
      </c>
      <c r="B43" s="18" t="s">
        <v>372</v>
      </c>
      <c r="C43" s="195" t="s">
        <v>751</v>
      </c>
      <c r="D43" s="332">
        <v>1.1299999999999999E-2</v>
      </c>
      <c r="E43" s="107">
        <f>SUMIFS(E$209:E$217,$A$209:$A$217,$A43)*(1-$D43)</f>
        <v>0</v>
      </c>
      <c r="F43" s="107">
        <f t="shared" ref="F43:P43" si="24">SUMIFS(F$209:F$217,$A$209:$A$217,$A43)*(1-$D43)</f>
        <v>0</v>
      </c>
      <c r="G43" s="107">
        <f t="shared" si="24"/>
        <v>0</v>
      </c>
      <c r="H43" s="107">
        <f t="shared" si="24"/>
        <v>0</v>
      </c>
      <c r="I43" s="107">
        <f t="shared" si="24"/>
        <v>0</v>
      </c>
      <c r="J43" s="107">
        <f t="shared" si="24"/>
        <v>0</v>
      </c>
      <c r="K43" s="107">
        <f t="shared" si="24"/>
        <v>0</v>
      </c>
      <c r="L43" s="107">
        <f t="shared" si="24"/>
        <v>0</v>
      </c>
      <c r="M43" s="107">
        <f t="shared" si="24"/>
        <v>0</v>
      </c>
      <c r="N43" s="107">
        <f t="shared" si="24"/>
        <v>0</v>
      </c>
      <c r="O43" s="107">
        <f t="shared" si="24"/>
        <v>0</v>
      </c>
      <c r="P43" s="107">
        <f t="shared" si="24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0</v>
      </c>
      <c r="F44" s="107">
        <f t="shared" ref="F44:P44" si="25">SUM(F42:F43)</f>
        <v>0</v>
      </c>
      <c r="G44" s="107">
        <f t="shared" si="25"/>
        <v>0</v>
      </c>
      <c r="H44" s="107">
        <f t="shared" si="25"/>
        <v>0</v>
      </c>
      <c r="I44" s="107">
        <f t="shared" si="25"/>
        <v>0</v>
      </c>
      <c r="J44" s="107">
        <f t="shared" si="25"/>
        <v>0</v>
      </c>
      <c r="K44" s="107">
        <f t="shared" si="25"/>
        <v>0</v>
      </c>
      <c r="L44" s="107">
        <f t="shared" si="25"/>
        <v>0</v>
      </c>
      <c r="M44" s="107">
        <f t="shared" si="25"/>
        <v>0</v>
      </c>
      <c r="N44" s="107">
        <f t="shared" si="25"/>
        <v>0</v>
      </c>
      <c r="O44" s="107">
        <f t="shared" si="25"/>
        <v>0</v>
      </c>
      <c r="P44" s="107">
        <f t="shared" si="25"/>
        <v>0</v>
      </c>
    </row>
    <row r="45" spans="1:16" s="2" customFormat="1" hidden="1" outlineLevel="2" x14ac:dyDescent="0.25">
      <c r="A45" s="195" t="s">
        <v>403</v>
      </c>
      <c r="B45" s="74" t="s">
        <v>382</v>
      </c>
      <c r="C45" s="19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6">IF(F$182=0,0,SUMIFS(F$209:F$217,$A$209:$A$217,$A45))*$D45</f>
        <v>0</v>
      </c>
      <c r="G45" s="107">
        <f t="shared" si="26"/>
        <v>0</v>
      </c>
      <c r="H45" s="107">
        <f t="shared" si="26"/>
        <v>0</v>
      </c>
      <c r="I45" s="107">
        <f t="shared" si="26"/>
        <v>0</v>
      </c>
      <c r="J45" s="107">
        <f t="shared" si="26"/>
        <v>0</v>
      </c>
      <c r="K45" s="107">
        <f t="shared" si="26"/>
        <v>0</v>
      </c>
      <c r="L45" s="107">
        <f t="shared" si="26"/>
        <v>0</v>
      </c>
      <c r="M45" s="107">
        <f t="shared" si="26"/>
        <v>0</v>
      </c>
      <c r="N45" s="107">
        <f t="shared" si="26"/>
        <v>0</v>
      </c>
      <c r="O45" s="107">
        <f t="shared" si="26"/>
        <v>0</v>
      </c>
      <c r="P45" s="107">
        <f t="shared" si="26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195" t="s">
        <v>751</v>
      </c>
      <c r="D46" s="332">
        <v>1.1299999999999999E-2</v>
      </c>
      <c r="E46" s="107">
        <f>SUMIFS(E$209:E$217,$A$209:$A$217,$A46)*(1-$D46)</f>
        <v>0</v>
      </c>
      <c r="F46" s="107">
        <f t="shared" ref="F46:P46" si="27">SUMIFS(F$209:F$217,$A$209:$A$217,$A46)*(1-$D46)</f>
        <v>0</v>
      </c>
      <c r="G46" s="107">
        <f t="shared" si="27"/>
        <v>87401.08</v>
      </c>
      <c r="H46" s="107">
        <f t="shared" si="27"/>
        <v>89081.87</v>
      </c>
      <c r="I46" s="107">
        <f t="shared" si="27"/>
        <v>90762.66</v>
      </c>
      <c r="J46" s="107">
        <f t="shared" si="27"/>
        <v>92443.450000000012</v>
      </c>
      <c r="K46" s="107">
        <f t="shared" si="27"/>
        <v>94124.24000000002</v>
      </c>
      <c r="L46" s="107">
        <f t="shared" si="27"/>
        <v>95805.030000000013</v>
      </c>
      <c r="M46" s="107">
        <f t="shared" si="27"/>
        <v>97485.82</v>
      </c>
      <c r="N46" s="107">
        <f t="shared" si="27"/>
        <v>99166.61</v>
      </c>
      <c r="O46" s="107">
        <f t="shared" si="27"/>
        <v>100847.40000000001</v>
      </c>
      <c r="P46" s="107">
        <f t="shared" si="27"/>
        <v>102528.19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0</v>
      </c>
      <c r="F47" s="107">
        <f t="shared" ref="F47:P47" si="28">SUM(F45:F46)</f>
        <v>0</v>
      </c>
      <c r="G47" s="107">
        <f t="shared" si="28"/>
        <v>87401.08</v>
      </c>
      <c r="H47" s="107">
        <f t="shared" si="28"/>
        <v>89081.87</v>
      </c>
      <c r="I47" s="107">
        <f t="shared" si="28"/>
        <v>90762.66</v>
      </c>
      <c r="J47" s="107">
        <f t="shared" si="28"/>
        <v>92443.450000000012</v>
      </c>
      <c r="K47" s="107">
        <f t="shared" si="28"/>
        <v>94124.24000000002</v>
      </c>
      <c r="L47" s="107">
        <f t="shared" si="28"/>
        <v>95805.030000000013</v>
      </c>
      <c r="M47" s="107">
        <f t="shared" si="28"/>
        <v>97485.82</v>
      </c>
      <c r="N47" s="107">
        <f t="shared" si="28"/>
        <v>99166.61</v>
      </c>
      <c r="O47" s="107">
        <f t="shared" si="28"/>
        <v>100847.40000000001</v>
      </c>
      <c r="P47" s="107">
        <f t="shared" si="28"/>
        <v>102528.19</v>
      </c>
    </row>
    <row r="48" spans="1:16" s="2" customFormat="1" hidden="1" outlineLevel="2" x14ac:dyDescent="0.25">
      <c r="A48" s="195" t="s">
        <v>407</v>
      </c>
      <c r="B48" s="74" t="s">
        <v>377</v>
      </c>
      <c r="C48" s="195" t="s">
        <v>750</v>
      </c>
      <c r="D48" s="331">
        <v>1.144827</v>
      </c>
      <c r="E48" s="107">
        <f>IF(E$182=0,0,SUMIFS(E$209:E$217,$A$209:$A$217,$A48))*$D48</f>
        <v>0</v>
      </c>
      <c r="F48" s="107">
        <f t="shared" ref="F48:P48" si="29">IF(F$182=0,0,SUMIFS(F$209:F$217,$A$209:$A$217,$A48))*$D48</f>
        <v>0</v>
      </c>
      <c r="G48" s="107">
        <f t="shared" si="29"/>
        <v>0</v>
      </c>
      <c r="H48" s="107">
        <f t="shared" si="29"/>
        <v>48540.664799999999</v>
      </c>
      <c r="I48" s="107">
        <f t="shared" si="29"/>
        <v>49456.526400000002</v>
      </c>
      <c r="J48" s="107">
        <f t="shared" si="29"/>
        <v>50372.387999999999</v>
      </c>
      <c r="K48" s="107">
        <f t="shared" si="29"/>
        <v>51288.24960000001</v>
      </c>
      <c r="L48" s="107">
        <f t="shared" si="29"/>
        <v>52204.111200000007</v>
      </c>
      <c r="M48" s="107">
        <f t="shared" si="29"/>
        <v>53119.972800000003</v>
      </c>
      <c r="N48" s="107">
        <f t="shared" si="29"/>
        <v>54035.8344</v>
      </c>
      <c r="O48" s="107">
        <f t="shared" si="29"/>
        <v>54951.696000000004</v>
      </c>
      <c r="P48" s="107">
        <f t="shared" si="29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195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30">SUMIFS(F$209:F$217,$A$209:$A$217,$A49)*(1-$D49)</f>
        <v>0</v>
      </c>
      <c r="G49" s="107">
        <f t="shared" si="30"/>
        <v>0</v>
      </c>
      <c r="H49" s="107">
        <f t="shared" si="30"/>
        <v>0</v>
      </c>
      <c r="I49" s="107">
        <f t="shared" si="30"/>
        <v>0</v>
      </c>
      <c r="J49" s="107">
        <f t="shared" si="30"/>
        <v>0</v>
      </c>
      <c r="K49" s="107">
        <f t="shared" si="30"/>
        <v>0</v>
      </c>
      <c r="L49" s="107">
        <f t="shared" si="30"/>
        <v>0</v>
      </c>
      <c r="M49" s="107">
        <f t="shared" si="30"/>
        <v>0</v>
      </c>
      <c r="N49" s="107">
        <f t="shared" si="30"/>
        <v>0</v>
      </c>
      <c r="O49" s="107">
        <f t="shared" si="30"/>
        <v>0</v>
      </c>
      <c r="P49" s="107">
        <f t="shared" si="30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0</v>
      </c>
      <c r="F50" s="107">
        <f t="shared" ref="F50:P50" si="31">SUM(F48:F49)</f>
        <v>0</v>
      </c>
      <c r="G50" s="107">
        <f t="shared" si="31"/>
        <v>0</v>
      </c>
      <c r="H50" s="107">
        <f t="shared" si="31"/>
        <v>48540.664799999999</v>
      </c>
      <c r="I50" s="107">
        <f t="shared" si="31"/>
        <v>49456.526400000002</v>
      </c>
      <c r="J50" s="107">
        <f t="shared" si="31"/>
        <v>50372.387999999999</v>
      </c>
      <c r="K50" s="107">
        <f t="shared" si="31"/>
        <v>51288.24960000001</v>
      </c>
      <c r="L50" s="107">
        <f t="shared" si="31"/>
        <v>52204.111200000007</v>
      </c>
      <c r="M50" s="107">
        <f t="shared" si="31"/>
        <v>53119.972800000003</v>
      </c>
      <c r="N50" s="107">
        <f t="shared" si="31"/>
        <v>54035.8344</v>
      </c>
      <c r="O50" s="107">
        <f t="shared" si="31"/>
        <v>54951.696000000004</v>
      </c>
      <c r="P50" s="107">
        <f t="shared" si="31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0</v>
      </c>
      <c r="F51" s="107">
        <f t="shared" ref="F51:P51" si="32">IF(F$182=0,0,SUMIFS(F$209:F$217,$A$209:$A$217,$A51))</f>
        <v>0</v>
      </c>
      <c r="G51" s="107">
        <f t="shared" si="32"/>
        <v>4680</v>
      </c>
      <c r="H51" s="107">
        <f t="shared" si="32"/>
        <v>17490</v>
      </c>
      <c r="I51" s="107">
        <f t="shared" si="32"/>
        <v>25920</v>
      </c>
      <c r="J51" s="107">
        <f t="shared" si="32"/>
        <v>26400.000000000004</v>
      </c>
      <c r="K51" s="107">
        <f t="shared" si="32"/>
        <v>26880.000000000004</v>
      </c>
      <c r="L51" s="107">
        <f t="shared" si="32"/>
        <v>27360.000000000004</v>
      </c>
      <c r="M51" s="107">
        <f t="shared" si="32"/>
        <v>27839.999999999996</v>
      </c>
      <c r="N51" s="107">
        <f t="shared" si="32"/>
        <v>28320</v>
      </c>
      <c r="O51" s="107">
        <f t="shared" si="32"/>
        <v>28800</v>
      </c>
      <c r="P51" s="107">
        <f t="shared" si="32"/>
        <v>29280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3000</v>
      </c>
      <c r="E52" s="107">
        <f>IF(E$182=0,0,(SUMIFS(E$188:E$196,$A$188:$A$196,$A42)+SUMIFS(E$188:E$196,$A$188:$A$196,$A43))*$D52)</f>
        <v>0</v>
      </c>
      <c r="F52" s="107">
        <f t="shared" ref="F52:P52" si="33">IF(F$182=0,0,(SUMIFS(F$188:F$196,$A$188:$A$196,$A42)+SUMIFS(F$188:F$196,$A$188:$A$196,$A43))*$D52)</f>
        <v>0</v>
      </c>
      <c r="G52" s="107">
        <f t="shared" si="33"/>
        <v>0</v>
      </c>
      <c r="H52" s="107">
        <f t="shared" si="33"/>
        <v>0</v>
      </c>
      <c r="I52" s="107">
        <f t="shared" si="33"/>
        <v>0</v>
      </c>
      <c r="J52" s="107">
        <f t="shared" si="33"/>
        <v>0</v>
      </c>
      <c r="K52" s="107">
        <f t="shared" si="33"/>
        <v>0</v>
      </c>
      <c r="L52" s="107">
        <f t="shared" si="33"/>
        <v>0</v>
      </c>
      <c r="M52" s="107">
        <f t="shared" si="33"/>
        <v>0</v>
      </c>
      <c r="N52" s="107">
        <f t="shared" si="33"/>
        <v>0</v>
      </c>
      <c r="O52" s="107">
        <f t="shared" si="33"/>
        <v>0</v>
      </c>
      <c r="P52" s="107">
        <f t="shared" si="33"/>
        <v>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3000</v>
      </c>
      <c r="E53" s="107">
        <f>IF(E$182=0,0,(SUMIFS(E$188:E$196,$A$188:$A$196,$A45)+SUMIFS(E$188:E$196,$A$188:$A$196,$A46))*$D53)</f>
        <v>0</v>
      </c>
      <c r="F53" s="107">
        <f t="shared" ref="F53:P53" si="34">IF(F$182=0,0,(SUMIFS(F$188:F$196,$A$188:$A$196,$A45)+SUMIFS(F$188:F$196,$A$188:$A$196,$A46))*$D53)</f>
        <v>0</v>
      </c>
      <c r="G53" s="107">
        <f t="shared" si="34"/>
        <v>3000</v>
      </c>
      <c r="H53" s="107">
        <f t="shared" si="34"/>
        <v>3000</v>
      </c>
      <c r="I53" s="107">
        <f t="shared" si="34"/>
        <v>3000</v>
      </c>
      <c r="J53" s="107">
        <f t="shared" si="34"/>
        <v>3000</v>
      </c>
      <c r="K53" s="107">
        <f t="shared" si="34"/>
        <v>3000</v>
      </c>
      <c r="L53" s="107">
        <f t="shared" si="34"/>
        <v>3000</v>
      </c>
      <c r="M53" s="107">
        <f t="shared" si="34"/>
        <v>3000</v>
      </c>
      <c r="N53" s="107">
        <f t="shared" si="34"/>
        <v>3000</v>
      </c>
      <c r="O53" s="107">
        <f t="shared" si="34"/>
        <v>3000</v>
      </c>
      <c r="P53" s="107">
        <f t="shared" si="34"/>
        <v>3000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3000</v>
      </c>
      <c r="E54" s="107">
        <f>IF(E$182=0,0,(SUMIFS(E$188:E$196,$A$188:$A$196,$A48)+SUMIFS(E$188:E$196,$A$188:$A$196,$A49))*$D54)</f>
        <v>0</v>
      </c>
      <c r="F54" s="107">
        <f t="shared" ref="F54:P54" si="35">IF(F$182=0,0,(SUMIFS(F$188:F$196,$A$188:$A$196,$A48)+SUMIFS(F$188:F$196,$A$188:$A$196,$A49))*$D54)</f>
        <v>0</v>
      </c>
      <c r="G54" s="32">
        <f t="shared" si="35"/>
        <v>0</v>
      </c>
      <c r="H54" s="32">
        <f t="shared" si="35"/>
        <v>3000</v>
      </c>
      <c r="I54" s="32">
        <f t="shared" si="35"/>
        <v>3000</v>
      </c>
      <c r="J54" s="32">
        <f t="shared" si="35"/>
        <v>3000</v>
      </c>
      <c r="K54" s="32">
        <f t="shared" si="35"/>
        <v>3000</v>
      </c>
      <c r="L54" s="32">
        <f t="shared" si="35"/>
        <v>3000</v>
      </c>
      <c r="M54" s="32">
        <f t="shared" si="35"/>
        <v>3000</v>
      </c>
      <c r="N54" s="32">
        <f t="shared" si="35"/>
        <v>3000</v>
      </c>
      <c r="O54" s="32">
        <f t="shared" si="35"/>
        <v>3000</v>
      </c>
      <c r="P54" s="32">
        <f t="shared" si="35"/>
        <v>3000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107">
        <f>E54+E53+E52+E51+E50+E47+E44</f>
        <v>0</v>
      </c>
      <c r="F55" s="107">
        <f t="shared" ref="F55:P55" si="36">F54+F53+F52+F51+F50+F47+F44</f>
        <v>0</v>
      </c>
      <c r="G55" s="107">
        <f t="shared" si="36"/>
        <v>95081.08</v>
      </c>
      <c r="H55" s="107">
        <f t="shared" si="36"/>
        <v>161112.53479999999</v>
      </c>
      <c r="I55" s="107">
        <f t="shared" si="36"/>
        <v>172139.18640000001</v>
      </c>
      <c r="J55" s="107">
        <f t="shared" si="36"/>
        <v>175215.83800000002</v>
      </c>
      <c r="K55" s="107">
        <f t="shared" si="36"/>
        <v>178292.48960000003</v>
      </c>
      <c r="L55" s="107">
        <f t="shared" si="36"/>
        <v>181369.14120000001</v>
      </c>
      <c r="M55" s="107">
        <f t="shared" si="36"/>
        <v>184445.7928</v>
      </c>
      <c r="N55" s="107">
        <f t="shared" si="36"/>
        <v>187522.44439999998</v>
      </c>
      <c r="O55" s="107">
        <f t="shared" si="36"/>
        <v>190599.09600000002</v>
      </c>
      <c r="P55" s="107">
        <f t="shared" si="36"/>
        <v>193675.7476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107">
        <f>IF(E$182=0,0,SUMIFS(E$42:E$54,$A$42:$A$54,6111)*$D56)</f>
        <v>0</v>
      </c>
      <c r="F56" s="107">
        <f t="shared" ref="F56:P56" si="37">IF(F$182=0,0,SUMIFS(F$42:F$54,$A$42:$A$54,6111)*$D56)</f>
        <v>0</v>
      </c>
      <c r="G56" s="107">
        <f t="shared" si="37"/>
        <v>0</v>
      </c>
      <c r="H56" s="107">
        <f t="shared" si="37"/>
        <v>0</v>
      </c>
      <c r="I56" s="107">
        <f t="shared" si="37"/>
        <v>0</v>
      </c>
      <c r="J56" s="107">
        <f t="shared" si="37"/>
        <v>0</v>
      </c>
      <c r="K56" s="107">
        <f t="shared" si="37"/>
        <v>0</v>
      </c>
      <c r="L56" s="107">
        <f t="shared" si="37"/>
        <v>0</v>
      </c>
      <c r="M56" s="107">
        <f t="shared" si="37"/>
        <v>0</v>
      </c>
      <c r="N56" s="107">
        <f t="shared" si="37"/>
        <v>0</v>
      </c>
      <c r="O56" s="107">
        <f t="shared" si="37"/>
        <v>0</v>
      </c>
      <c r="P56" s="107">
        <f t="shared" si="37"/>
        <v>0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107">
        <f>IF(E$182=0,0,SUMIFS(E$42:E$54,$A$42:$A$54,6114)*$D57)</f>
        <v>0</v>
      </c>
      <c r="F57" s="107">
        <f t="shared" ref="F57:P57" si="38">IF(F$182=0,0,SUMIFS(F$42:F$54,$A$42:$A$54,6114)*$D57)</f>
        <v>0</v>
      </c>
      <c r="G57" s="107">
        <f t="shared" si="38"/>
        <v>480.70594</v>
      </c>
      <c r="H57" s="107">
        <f t="shared" si="38"/>
        <v>489.95028499999995</v>
      </c>
      <c r="I57" s="107">
        <f t="shared" si="38"/>
        <v>499.19463000000002</v>
      </c>
      <c r="J57" s="107">
        <f t="shared" si="38"/>
        <v>508.43897500000003</v>
      </c>
      <c r="K57" s="107">
        <f t="shared" si="38"/>
        <v>517.68332000000009</v>
      </c>
      <c r="L57" s="107">
        <f t="shared" si="38"/>
        <v>526.92766500000005</v>
      </c>
      <c r="M57" s="107">
        <f t="shared" si="38"/>
        <v>536.17201</v>
      </c>
      <c r="N57" s="107">
        <f t="shared" si="38"/>
        <v>545.41635499999995</v>
      </c>
      <c r="O57" s="107">
        <f t="shared" si="38"/>
        <v>554.66070000000002</v>
      </c>
      <c r="P57" s="107">
        <f t="shared" si="38"/>
        <v>563.90504499999997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IF(E$182=0,0,(SUMIFS(E$42:E$54,$A$42:$A$54,6117)+SUMIFS(E$42:E$54,$A$42:$A$54,6117))*$D58)</f>
        <v>0</v>
      </c>
      <c r="F58" s="6">
        <f t="shared" ref="F58:P58" si="39">IF(F$182=0,0,(SUMIFS(F$42:F$54,$A$42:$A$54,6117)+SUMIFS(F$42:F$54,$A$42:$A$54,6117))*$D58)</f>
        <v>0</v>
      </c>
      <c r="G58" s="6">
        <f t="shared" si="39"/>
        <v>0</v>
      </c>
      <c r="H58" s="6">
        <f t="shared" si="39"/>
        <v>533.94731279999996</v>
      </c>
      <c r="I58" s="6">
        <f t="shared" si="39"/>
        <v>544.02179039999999</v>
      </c>
      <c r="J58" s="6">
        <f t="shared" si="39"/>
        <v>554.09626800000001</v>
      </c>
      <c r="K58" s="6">
        <f t="shared" si="39"/>
        <v>564.17074560000003</v>
      </c>
      <c r="L58" s="6">
        <f t="shared" si="39"/>
        <v>574.24522320000005</v>
      </c>
      <c r="M58" s="6">
        <f t="shared" si="39"/>
        <v>584.31970079999996</v>
      </c>
      <c r="N58" s="6">
        <f t="shared" si="39"/>
        <v>594.39417839999999</v>
      </c>
      <c r="O58" s="6">
        <f t="shared" si="39"/>
        <v>604.46865600000001</v>
      </c>
      <c r="P58" s="6">
        <f t="shared" si="39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0</v>
      </c>
      <c r="F59" s="6">
        <f t="shared" ref="F59:P59" si="40">IF(F$182=0,0,SUMIFS(F$42:F$54,$A$42:$A$54,6127)*$D59)</f>
        <v>0</v>
      </c>
      <c r="G59" s="6">
        <f t="shared" si="40"/>
        <v>290.16000000000003</v>
      </c>
      <c r="H59" s="6">
        <f t="shared" si="40"/>
        <v>1084.3799999999999</v>
      </c>
      <c r="I59" s="6">
        <f t="shared" si="40"/>
        <v>1607.04</v>
      </c>
      <c r="J59" s="6">
        <f t="shared" si="40"/>
        <v>1636.8000000000002</v>
      </c>
      <c r="K59" s="6">
        <f t="shared" si="40"/>
        <v>1666.5600000000002</v>
      </c>
      <c r="L59" s="6">
        <f t="shared" si="40"/>
        <v>1696.3200000000002</v>
      </c>
      <c r="M59" s="6">
        <f t="shared" si="40"/>
        <v>1726.0799999999997</v>
      </c>
      <c r="N59" s="6">
        <f t="shared" si="40"/>
        <v>1755.84</v>
      </c>
      <c r="O59" s="6">
        <f t="shared" si="40"/>
        <v>1785.6</v>
      </c>
      <c r="P59" s="6">
        <f t="shared" si="40"/>
        <v>1815.36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1">IF(E$182=0,0,SUMIFS(E$42:E$54,$A$42:$A$54,$A42)*($D60*1+E6))</f>
        <v>0</v>
      </c>
      <c r="F60" s="6">
        <f t="shared" si="41"/>
        <v>0</v>
      </c>
      <c r="G60" s="6">
        <f t="shared" si="41"/>
        <v>0</v>
      </c>
      <c r="H60" s="6">
        <f t="shared" si="41"/>
        <v>0</v>
      </c>
      <c r="I60" s="6">
        <f t="shared" si="41"/>
        <v>0</v>
      </c>
      <c r="J60" s="6">
        <f t="shared" si="41"/>
        <v>0</v>
      </c>
      <c r="K60" s="6">
        <f t="shared" si="41"/>
        <v>0</v>
      </c>
      <c r="L60" s="6">
        <f t="shared" si="41"/>
        <v>0</v>
      </c>
      <c r="M60" s="6">
        <f t="shared" si="41"/>
        <v>0</v>
      </c>
      <c r="N60" s="6">
        <f t="shared" si="41"/>
        <v>0</v>
      </c>
      <c r="O60" s="6">
        <f t="shared" si="41"/>
        <v>0</v>
      </c>
      <c r="P60" s="6">
        <f t="shared" si="41"/>
        <v>0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2">IF(E$182=0,0,SUMIFS(E$42:E$54,$A$42:$A$54,$A43)*($D61*1+E6))</f>
        <v>0</v>
      </c>
      <c r="F61" s="6">
        <f t="shared" si="42"/>
        <v>0</v>
      </c>
      <c r="G61" s="6">
        <f t="shared" si="42"/>
        <v>0</v>
      </c>
      <c r="H61" s="6">
        <f t="shared" si="42"/>
        <v>0</v>
      </c>
      <c r="I61" s="6">
        <f t="shared" si="42"/>
        <v>0</v>
      </c>
      <c r="J61" s="6">
        <f t="shared" si="42"/>
        <v>0</v>
      </c>
      <c r="K61" s="6">
        <f t="shared" si="42"/>
        <v>0</v>
      </c>
      <c r="L61" s="6">
        <f t="shared" si="42"/>
        <v>0</v>
      </c>
      <c r="M61" s="6">
        <f t="shared" si="42"/>
        <v>0</v>
      </c>
      <c r="N61" s="6">
        <f t="shared" si="42"/>
        <v>0</v>
      </c>
      <c r="O61" s="6">
        <f t="shared" si="42"/>
        <v>0</v>
      </c>
      <c r="P61" s="6">
        <f t="shared" si="42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0</v>
      </c>
      <c r="F62" s="6">
        <f t="shared" ref="F62:P62" si="43">SUM(F60:F61)</f>
        <v>0</v>
      </c>
      <c r="G62" s="6">
        <f t="shared" si="43"/>
        <v>0</v>
      </c>
      <c r="H62" s="6">
        <f t="shared" si="43"/>
        <v>0</v>
      </c>
      <c r="I62" s="6">
        <f t="shared" si="43"/>
        <v>0</v>
      </c>
      <c r="J62" s="6">
        <f t="shared" si="43"/>
        <v>0</v>
      </c>
      <c r="K62" s="6">
        <f t="shared" si="43"/>
        <v>0</v>
      </c>
      <c r="L62" s="6">
        <f t="shared" si="43"/>
        <v>0</v>
      </c>
      <c r="M62" s="6">
        <f t="shared" si="43"/>
        <v>0</v>
      </c>
      <c r="N62" s="6">
        <f t="shared" si="43"/>
        <v>0</v>
      </c>
      <c r="O62" s="6">
        <f t="shared" si="43"/>
        <v>0</v>
      </c>
      <c r="P62" s="6">
        <f t="shared" si="43"/>
        <v>0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4">IF(E$182=0,0,SUMIFS(E$42:E$54,$A$42:$A$54,$A45)*($D63*1+E6))</f>
        <v>0</v>
      </c>
      <c r="F63" s="6">
        <f t="shared" si="44"/>
        <v>0</v>
      </c>
      <c r="G63" s="6">
        <f t="shared" si="44"/>
        <v>0</v>
      </c>
      <c r="H63" s="6">
        <f t="shared" si="44"/>
        <v>0</v>
      </c>
      <c r="I63" s="6">
        <f t="shared" si="44"/>
        <v>0</v>
      </c>
      <c r="J63" s="6">
        <f t="shared" si="44"/>
        <v>0</v>
      </c>
      <c r="K63" s="6">
        <f t="shared" si="44"/>
        <v>0</v>
      </c>
      <c r="L63" s="6">
        <f t="shared" si="44"/>
        <v>0</v>
      </c>
      <c r="M63" s="6">
        <f t="shared" si="44"/>
        <v>0</v>
      </c>
      <c r="N63" s="6">
        <f t="shared" si="44"/>
        <v>0</v>
      </c>
      <c r="O63" s="6">
        <f t="shared" si="44"/>
        <v>0</v>
      </c>
      <c r="P63" s="6">
        <f t="shared" si="44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5"/>
      <c r="D64" s="95">
        <v>0.28000000000000003</v>
      </c>
      <c r="E64" s="6">
        <f t="shared" ref="E64:P64" si="45">IF(E$182=0,0,SUMIFS(E$42:E$54,$A$42:$A$54,$A46)*($D64*1+E6))</f>
        <v>0</v>
      </c>
      <c r="F64" s="6">
        <f t="shared" si="45"/>
        <v>0</v>
      </c>
      <c r="G64" s="6">
        <f t="shared" si="45"/>
        <v>25127.810500000003</v>
      </c>
      <c r="H64" s="6">
        <f t="shared" si="45"/>
        <v>25611.037625000001</v>
      </c>
      <c r="I64" s="6">
        <f t="shared" si="45"/>
        <v>26094.264750000006</v>
      </c>
      <c r="J64" s="6">
        <f t="shared" si="45"/>
        <v>26577.491875000007</v>
      </c>
      <c r="K64" s="6">
        <f t="shared" si="45"/>
        <v>27060.719000000008</v>
      </c>
      <c r="L64" s="6">
        <f t="shared" si="45"/>
        <v>27543.946125000006</v>
      </c>
      <c r="M64" s="6">
        <f t="shared" si="45"/>
        <v>28027.173250000003</v>
      </c>
      <c r="N64" s="6">
        <f t="shared" si="45"/>
        <v>28510.400375000005</v>
      </c>
      <c r="O64" s="6">
        <f t="shared" si="45"/>
        <v>28993.627500000006</v>
      </c>
      <c r="P64" s="6">
        <f t="shared" si="45"/>
        <v>29476.854625000004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6">SUM(E63:E64)</f>
        <v>0</v>
      </c>
      <c r="F65" s="6">
        <f t="shared" si="46"/>
        <v>0</v>
      </c>
      <c r="G65" s="6">
        <f t="shared" si="46"/>
        <v>25127.810500000003</v>
      </c>
      <c r="H65" s="6">
        <f t="shared" si="46"/>
        <v>25611.037625000001</v>
      </c>
      <c r="I65" s="6">
        <f t="shared" si="46"/>
        <v>26094.264750000006</v>
      </c>
      <c r="J65" s="6">
        <f t="shared" si="46"/>
        <v>26577.491875000007</v>
      </c>
      <c r="K65" s="6">
        <f t="shared" si="46"/>
        <v>27060.719000000008</v>
      </c>
      <c r="L65" s="6">
        <f t="shared" si="46"/>
        <v>27543.946125000006</v>
      </c>
      <c r="M65" s="6">
        <f t="shared" si="46"/>
        <v>28027.173250000003</v>
      </c>
      <c r="N65" s="6">
        <f t="shared" si="46"/>
        <v>28510.400375000005</v>
      </c>
      <c r="O65" s="6">
        <f t="shared" si="46"/>
        <v>28993.627500000006</v>
      </c>
      <c r="P65" s="6">
        <f t="shared" si="46"/>
        <v>29476.854625000004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7">IF(E$182=0,0,SUMIFS(E$42:E$54,$A$42:$A$54,$A48)*($D66*1+E6))</f>
        <v>0</v>
      </c>
      <c r="F66" s="6">
        <f t="shared" si="47"/>
        <v>0</v>
      </c>
      <c r="G66" s="6">
        <f t="shared" si="47"/>
        <v>0</v>
      </c>
      <c r="H66" s="6">
        <f t="shared" si="47"/>
        <v>7402.4513819999993</v>
      </c>
      <c r="I66" s="6">
        <f t="shared" si="47"/>
        <v>7542.1202760000006</v>
      </c>
      <c r="J66" s="6">
        <f t="shared" si="47"/>
        <v>7681.78917</v>
      </c>
      <c r="K66" s="6">
        <f t="shared" si="47"/>
        <v>7821.4580640000013</v>
      </c>
      <c r="L66" s="6">
        <f t="shared" si="47"/>
        <v>7961.1269580000007</v>
      </c>
      <c r="M66" s="6">
        <f t="shared" si="47"/>
        <v>8100.7958520000002</v>
      </c>
      <c r="N66" s="6">
        <f t="shared" si="47"/>
        <v>8240.4647459999996</v>
      </c>
      <c r="O66" s="6">
        <f t="shared" si="47"/>
        <v>8380.13364</v>
      </c>
      <c r="P66" s="6">
        <f t="shared" si="47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8">IF(E$182=0,0,SUMIFS(E$42:E$54,$A$42:$A$54,$A49)*($D67*1+E6))</f>
        <v>0</v>
      </c>
      <c r="F67" s="6">
        <f t="shared" si="48"/>
        <v>0</v>
      </c>
      <c r="G67" s="6">
        <f t="shared" si="48"/>
        <v>0</v>
      </c>
      <c r="H67" s="6">
        <f t="shared" si="48"/>
        <v>0</v>
      </c>
      <c r="I67" s="6">
        <f t="shared" si="48"/>
        <v>0</v>
      </c>
      <c r="J67" s="6">
        <f t="shared" si="48"/>
        <v>0</v>
      </c>
      <c r="K67" s="6">
        <f t="shared" si="48"/>
        <v>0</v>
      </c>
      <c r="L67" s="6">
        <f t="shared" si="48"/>
        <v>0</v>
      </c>
      <c r="M67" s="6">
        <f t="shared" si="48"/>
        <v>0</v>
      </c>
      <c r="N67" s="6">
        <f t="shared" si="48"/>
        <v>0</v>
      </c>
      <c r="O67" s="6">
        <f t="shared" si="48"/>
        <v>0</v>
      </c>
      <c r="P67" s="6">
        <f t="shared" si="48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0</v>
      </c>
      <c r="F68" s="6">
        <f t="shared" ref="F68:P68" si="49">SUM(F66:F67)</f>
        <v>0</v>
      </c>
      <c r="G68" s="6">
        <f t="shared" si="49"/>
        <v>0</v>
      </c>
      <c r="H68" s="6">
        <f t="shared" si="49"/>
        <v>7402.4513819999993</v>
      </c>
      <c r="I68" s="6">
        <f t="shared" si="49"/>
        <v>7542.1202760000006</v>
      </c>
      <c r="J68" s="6">
        <f t="shared" si="49"/>
        <v>7681.78917</v>
      </c>
      <c r="K68" s="6">
        <f t="shared" si="49"/>
        <v>7821.4580640000013</v>
      </c>
      <c r="L68" s="6">
        <f t="shared" si="49"/>
        <v>7961.1269580000007</v>
      </c>
      <c r="M68" s="6">
        <f t="shared" si="49"/>
        <v>8100.7958520000002</v>
      </c>
      <c r="N68" s="6">
        <f t="shared" si="49"/>
        <v>8240.4647459999996</v>
      </c>
      <c r="O68" s="6">
        <f t="shared" si="49"/>
        <v>8380.13364</v>
      </c>
      <c r="P68" s="6">
        <f t="shared" si="49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0</v>
      </c>
      <c r="F69" s="6">
        <f t="shared" ref="F69:P69" si="50">IF(F$182=0,0,SUMIFS(F$42:F$54,$A$42:$A$54,$A44)*$D69)</f>
        <v>0</v>
      </c>
      <c r="G69" s="6">
        <f t="shared" si="50"/>
        <v>0</v>
      </c>
      <c r="H69" s="6">
        <f t="shared" si="50"/>
        <v>0</v>
      </c>
      <c r="I69" s="6">
        <f t="shared" si="50"/>
        <v>0</v>
      </c>
      <c r="J69" s="6">
        <f t="shared" si="50"/>
        <v>0</v>
      </c>
      <c r="K69" s="6">
        <f t="shared" si="50"/>
        <v>0</v>
      </c>
      <c r="L69" s="6">
        <f t="shared" si="50"/>
        <v>0</v>
      </c>
      <c r="M69" s="6">
        <f t="shared" si="50"/>
        <v>0</v>
      </c>
      <c r="N69" s="6">
        <f t="shared" si="50"/>
        <v>0</v>
      </c>
      <c r="O69" s="6">
        <f t="shared" si="50"/>
        <v>0</v>
      </c>
      <c r="P69" s="6">
        <f t="shared" si="50"/>
        <v>0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0</v>
      </c>
      <c r="F70" s="6">
        <f t="shared" ref="F70:P70" si="51">IF(F$182=0,0,SUMIFS(F$42:F$54,$A$42:$A$54,$A47)*$D70)</f>
        <v>0</v>
      </c>
      <c r="G70" s="6">
        <f t="shared" si="51"/>
        <v>1267.31566</v>
      </c>
      <c r="H70" s="6">
        <f t="shared" si="51"/>
        <v>1291.6871149999999</v>
      </c>
      <c r="I70" s="6">
        <f t="shared" si="51"/>
        <v>1316.0585700000001</v>
      </c>
      <c r="J70" s="6">
        <f t="shared" si="51"/>
        <v>1340.4300250000003</v>
      </c>
      <c r="K70" s="6">
        <f t="shared" si="51"/>
        <v>1364.8014800000003</v>
      </c>
      <c r="L70" s="6">
        <f t="shared" si="51"/>
        <v>1389.1729350000003</v>
      </c>
      <c r="M70" s="6">
        <f t="shared" si="51"/>
        <v>1413.5443900000002</v>
      </c>
      <c r="N70" s="6">
        <f t="shared" si="51"/>
        <v>1437.915845</v>
      </c>
      <c r="O70" s="6">
        <f t="shared" si="51"/>
        <v>1462.2873000000002</v>
      </c>
      <c r="P70" s="6">
        <f t="shared" si="51"/>
        <v>1486.6587550000002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0</v>
      </c>
      <c r="F71" s="6">
        <f t="shared" ref="F71:P71" si="52">IF(F$182=0,0,((SUMIFS(F$42:F$54,$A$42:$A$54,$A50))+(SUMIFS(F$42:F$54,$A$42:$A$54,$A51)))*$D71)</f>
        <v>0</v>
      </c>
      <c r="G71" s="6">
        <f t="shared" si="52"/>
        <v>67.86</v>
      </c>
      <c r="H71" s="6">
        <f t="shared" si="52"/>
        <v>957.44463960000007</v>
      </c>
      <c r="I71" s="6">
        <f t="shared" si="52"/>
        <v>1092.9596328</v>
      </c>
      <c r="J71" s="6">
        <f t="shared" si="52"/>
        <v>1113.1996260000001</v>
      </c>
      <c r="K71" s="6">
        <f t="shared" si="52"/>
        <v>1133.4396192000002</v>
      </c>
      <c r="L71" s="6">
        <f t="shared" si="52"/>
        <v>1153.6796124000002</v>
      </c>
      <c r="M71" s="6">
        <f t="shared" si="52"/>
        <v>1173.9196056000001</v>
      </c>
      <c r="N71" s="6">
        <f t="shared" si="52"/>
        <v>1194.1595987999999</v>
      </c>
      <c r="O71" s="6">
        <f t="shared" si="52"/>
        <v>1214.399592</v>
      </c>
      <c r="P71" s="6">
        <f t="shared" si="52"/>
        <v>1234.6395852000001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0</v>
      </c>
      <c r="F72" s="6">
        <f t="shared" ref="F72:P72" si="53">IF(F$182=0,0,SUMIFS(F$42:F$54,$A$42:$A$54,$A44)*$D72)</f>
        <v>0</v>
      </c>
      <c r="G72" s="6">
        <f t="shared" si="53"/>
        <v>0</v>
      </c>
      <c r="H72" s="6">
        <f t="shared" si="53"/>
        <v>0</v>
      </c>
      <c r="I72" s="6">
        <f t="shared" si="53"/>
        <v>0</v>
      </c>
      <c r="J72" s="6">
        <f t="shared" si="53"/>
        <v>0</v>
      </c>
      <c r="K72" s="6">
        <f t="shared" si="53"/>
        <v>0</v>
      </c>
      <c r="L72" s="6">
        <f t="shared" si="53"/>
        <v>0</v>
      </c>
      <c r="M72" s="6">
        <f t="shared" si="53"/>
        <v>0</v>
      </c>
      <c r="N72" s="6">
        <f t="shared" si="53"/>
        <v>0</v>
      </c>
      <c r="O72" s="6">
        <f t="shared" si="53"/>
        <v>0</v>
      </c>
      <c r="P72" s="6">
        <f t="shared" si="53"/>
        <v>0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0</v>
      </c>
      <c r="F73" s="6">
        <f t="shared" ref="F73:P73" si="54">IF(F$182=0,0,SUMIFS(F$42:F$54,$A$42:$A$54,$A47)*$D73)</f>
        <v>0</v>
      </c>
      <c r="G73" s="6">
        <f t="shared" si="54"/>
        <v>874.01080000000002</v>
      </c>
      <c r="H73" s="6">
        <f t="shared" si="54"/>
        <v>890.81869999999992</v>
      </c>
      <c r="I73" s="6">
        <f t="shared" si="54"/>
        <v>907.62660000000005</v>
      </c>
      <c r="J73" s="6">
        <f t="shared" si="54"/>
        <v>924.43450000000018</v>
      </c>
      <c r="K73" s="6">
        <f t="shared" si="54"/>
        <v>941.2424000000002</v>
      </c>
      <c r="L73" s="6">
        <f t="shared" si="54"/>
        <v>958.05030000000011</v>
      </c>
      <c r="M73" s="6">
        <f t="shared" si="54"/>
        <v>974.85820000000012</v>
      </c>
      <c r="N73" s="6">
        <f t="shared" si="54"/>
        <v>991.66610000000003</v>
      </c>
      <c r="O73" s="6">
        <f t="shared" si="54"/>
        <v>1008.4740000000002</v>
      </c>
      <c r="P73" s="6">
        <f t="shared" si="54"/>
        <v>1025.2819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0</v>
      </c>
      <c r="F74" s="6">
        <f t="shared" ref="F74:P74" si="55">IF(F$182=0,0,((SUMIFS(F$42:F$54,$A$42:$A$54,$A50))+(SUMIFS(F$42:F$54,$A$42:$A$54,B51)))*$D74)</f>
        <v>0</v>
      </c>
      <c r="G74" s="6">
        <f t="shared" si="55"/>
        <v>0</v>
      </c>
      <c r="H74" s="6">
        <f t="shared" si="55"/>
        <v>485.40664800000002</v>
      </c>
      <c r="I74" s="6">
        <f t="shared" si="55"/>
        <v>494.56526400000001</v>
      </c>
      <c r="J74" s="6">
        <f t="shared" si="55"/>
        <v>503.72388000000001</v>
      </c>
      <c r="K74" s="6">
        <f t="shared" si="55"/>
        <v>512.88249600000006</v>
      </c>
      <c r="L74" s="6">
        <f t="shared" si="55"/>
        <v>522.04111200000011</v>
      </c>
      <c r="M74" s="6">
        <f t="shared" si="55"/>
        <v>531.19972800000005</v>
      </c>
      <c r="N74" s="6">
        <f t="shared" si="55"/>
        <v>540.35834399999999</v>
      </c>
      <c r="O74" s="6">
        <f t="shared" si="55"/>
        <v>549.51696000000004</v>
      </c>
      <c r="P74" s="6">
        <f t="shared" si="55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IF(E$182=0,0,SUMIFS(E$42:E$54,$A$42:$A$54,$A44)*$D75)</f>
        <v>0</v>
      </c>
      <c r="F75" s="6">
        <f t="shared" ref="F75:P75" si="56">IF(F$182=0,0,SUMIFS(F$42:F$54,$A$42:$A$54,$A44)*$D75)</f>
        <v>0</v>
      </c>
      <c r="G75" s="6">
        <f t="shared" si="56"/>
        <v>0</v>
      </c>
      <c r="H75" s="6">
        <f t="shared" si="56"/>
        <v>0</v>
      </c>
      <c r="I75" s="6">
        <f t="shared" si="56"/>
        <v>0</v>
      </c>
      <c r="J75" s="6">
        <f t="shared" si="56"/>
        <v>0</v>
      </c>
      <c r="K75" s="6">
        <f t="shared" si="56"/>
        <v>0</v>
      </c>
      <c r="L75" s="6">
        <f t="shared" si="56"/>
        <v>0</v>
      </c>
      <c r="M75" s="6">
        <f t="shared" si="56"/>
        <v>0</v>
      </c>
      <c r="N75" s="6">
        <f t="shared" si="56"/>
        <v>0</v>
      </c>
      <c r="O75" s="6">
        <f t="shared" si="56"/>
        <v>0</v>
      </c>
      <c r="P75" s="6">
        <f t="shared" si="56"/>
        <v>0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0</v>
      </c>
      <c r="F76" s="6">
        <f t="shared" ref="F76:P76" si="57">IF(F$182=0,0,SUMIFS(F$42:F$54,$A$42:$A$54,$A47)*$D76)</f>
        <v>0</v>
      </c>
      <c r="G76" s="6">
        <f t="shared" si="57"/>
        <v>611.80756000000008</v>
      </c>
      <c r="H76" s="6">
        <f t="shared" si="57"/>
        <v>623.57308999999998</v>
      </c>
      <c r="I76" s="6">
        <f t="shared" si="57"/>
        <v>635.33861999999999</v>
      </c>
      <c r="J76" s="6">
        <f t="shared" si="57"/>
        <v>647.10415000000012</v>
      </c>
      <c r="K76" s="6">
        <f t="shared" si="57"/>
        <v>658.86968000000013</v>
      </c>
      <c r="L76" s="6">
        <f t="shared" si="57"/>
        <v>670.63521000000014</v>
      </c>
      <c r="M76" s="6">
        <f t="shared" si="57"/>
        <v>682.40074000000004</v>
      </c>
      <c r="N76" s="6">
        <f t="shared" si="57"/>
        <v>694.16627000000005</v>
      </c>
      <c r="O76" s="6">
        <f t="shared" si="57"/>
        <v>705.93180000000007</v>
      </c>
      <c r="P76" s="6">
        <f t="shared" si="57"/>
        <v>717.69733000000008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0</v>
      </c>
      <c r="F77" s="6">
        <f t="shared" ref="F77:P77" si="58">IF(F$182=0,0,((SUMIFS(F$42:F$54,$A$42:$A$54,$A50))+(SUMIFS(F$42:F$54,$A$42:$A$54,$A51)))*$D77)</f>
        <v>0</v>
      </c>
      <c r="G77" s="6">
        <f t="shared" si="58"/>
        <v>32.76</v>
      </c>
      <c r="H77" s="6">
        <f t="shared" si="58"/>
        <v>462.21465360000002</v>
      </c>
      <c r="I77" s="6">
        <f t="shared" si="58"/>
        <v>527.63568480000004</v>
      </c>
      <c r="J77" s="6">
        <f t="shared" si="58"/>
        <v>537.40671600000007</v>
      </c>
      <c r="K77" s="6">
        <f t="shared" si="58"/>
        <v>547.17774720000011</v>
      </c>
      <c r="L77" s="6">
        <f t="shared" si="58"/>
        <v>556.94877840000015</v>
      </c>
      <c r="M77" s="6">
        <f t="shared" si="58"/>
        <v>566.71980960000008</v>
      </c>
      <c r="N77" s="6">
        <f t="shared" si="58"/>
        <v>576.4908408</v>
      </c>
      <c r="O77" s="6">
        <f t="shared" si="58"/>
        <v>586.26187200000004</v>
      </c>
      <c r="P77" s="6">
        <f t="shared" si="58"/>
        <v>596.03290319999996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IF(E$182=0,0,(E200*$D78*12)*(1+E9))</f>
        <v>0</v>
      </c>
      <c r="F78" s="6">
        <f t="shared" ref="F78:P78" si="59">IF(F$182=0,0,(F200*$D78*12)*(1+F9))</f>
        <v>0</v>
      </c>
      <c r="G78" s="6">
        <f t="shared" si="59"/>
        <v>0</v>
      </c>
      <c r="H78" s="6">
        <f t="shared" si="59"/>
        <v>0</v>
      </c>
      <c r="I78" s="6">
        <f t="shared" si="59"/>
        <v>0</v>
      </c>
      <c r="J78" s="6">
        <f t="shared" si="59"/>
        <v>0</v>
      </c>
      <c r="K78" s="6">
        <f t="shared" si="59"/>
        <v>0</v>
      </c>
      <c r="L78" s="6">
        <f t="shared" si="59"/>
        <v>0</v>
      </c>
      <c r="M78" s="6">
        <f t="shared" si="59"/>
        <v>0</v>
      </c>
      <c r="N78" s="6">
        <f t="shared" si="59"/>
        <v>0</v>
      </c>
      <c r="O78" s="6">
        <f t="shared" si="59"/>
        <v>0</v>
      </c>
      <c r="P78" s="6">
        <f t="shared" si="59"/>
        <v>0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6">
        <f>IF(E$182=0,0,(E203*$D79*12)*(1+E9))</f>
        <v>0</v>
      </c>
      <c r="F79" s="6">
        <f t="shared" ref="F79:P79" si="60">IF(F$182=0,0,(F203*$D79*12)*(1+F9))</f>
        <v>0</v>
      </c>
      <c r="G79" s="6">
        <f t="shared" si="60"/>
        <v>4536</v>
      </c>
      <c r="H79" s="6">
        <f t="shared" si="60"/>
        <v>4704</v>
      </c>
      <c r="I79" s="6">
        <f t="shared" si="60"/>
        <v>4872</v>
      </c>
      <c r="J79" s="6">
        <f t="shared" si="60"/>
        <v>5040</v>
      </c>
      <c r="K79" s="6">
        <f t="shared" si="60"/>
        <v>5208</v>
      </c>
      <c r="L79" s="6">
        <f t="shared" si="60"/>
        <v>5376</v>
      </c>
      <c r="M79" s="6">
        <f t="shared" si="60"/>
        <v>5544</v>
      </c>
      <c r="N79" s="6">
        <f t="shared" si="60"/>
        <v>5711.9999999999991</v>
      </c>
      <c r="O79" s="6">
        <f t="shared" si="60"/>
        <v>5880</v>
      </c>
      <c r="P79" s="6">
        <f t="shared" si="60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107">
        <f>IF(E$182=0,0,(E204*$D80*12)*(1+E9))</f>
        <v>0</v>
      </c>
      <c r="F80" s="107">
        <f t="shared" ref="F80:P80" si="61">IF(F$182=0,0,(F204*$D80*12)*(1+F9))</f>
        <v>0</v>
      </c>
      <c r="G80" s="32">
        <f t="shared" si="61"/>
        <v>0</v>
      </c>
      <c r="H80" s="32">
        <f t="shared" si="61"/>
        <v>4704</v>
      </c>
      <c r="I80" s="32">
        <f t="shared" si="61"/>
        <v>4872</v>
      </c>
      <c r="J80" s="32">
        <f t="shared" si="61"/>
        <v>5040</v>
      </c>
      <c r="K80" s="32">
        <f t="shared" si="61"/>
        <v>5208</v>
      </c>
      <c r="L80" s="32">
        <f t="shared" si="61"/>
        <v>5376</v>
      </c>
      <c r="M80" s="32">
        <f t="shared" si="61"/>
        <v>5544</v>
      </c>
      <c r="N80" s="32">
        <f t="shared" si="61"/>
        <v>5711.9999999999991</v>
      </c>
      <c r="O80" s="32">
        <f t="shared" si="61"/>
        <v>5880</v>
      </c>
      <c r="P80" s="32">
        <f t="shared" si="61"/>
        <v>6048</v>
      </c>
    </row>
    <row r="81" spans="1:16" s="2" customFormat="1" collapsed="1" x14ac:dyDescent="0.25">
      <c r="A81" s="62">
        <v>200</v>
      </c>
      <c r="B81" s="18" t="s">
        <v>106</v>
      </c>
      <c r="C81" s="18"/>
      <c r="E81" s="154">
        <f>SUM(E56:E80)-E68-E65-E62</f>
        <v>0</v>
      </c>
      <c r="F81" s="154">
        <f t="shared" ref="F81:P81" si="62">SUM(F56:F80)-F68-F65-F62</f>
        <v>0</v>
      </c>
      <c r="G81" s="154">
        <f t="shared" si="62"/>
        <v>33288.430460000003</v>
      </c>
      <c r="H81" s="154">
        <f t="shared" si="62"/>
        <v>49240.911451000022</v>
      </c>
      <c r="I81" s="154">
        <f t="shared" si="62"/>
        <v>51004.825818000012</v>
      </c>
      <c r="J81" s="154">
        <f t="shared" si="62"/>
        <v>52104.915185000005</v>
      </c>
      <c r="K81" s="154">
        <f t="shared" si="62"/>
        <v>53205.004551999999</v>
      </c>
      <c r="L81" s="154">
        <f t="shared" si="62"/>
        <v>54305.093919000021</v>
      </c>
      <c r="M81" s="154">
        <f t="shared" si="62"/>
        <v>55405.183286000014</v>
      </c>
      <c r="N81" s="154">
        <f t="shared" si="62"/>
        <v>56505.272653</v>
      </c>
      <c r="O81" s="154">
        <f t="shared" si="62"/>
        <v>57605.362020000015</v>
      </c>
      <c r="P81" s="154">
        <f t="shared" si="62"/>
        <v>58705.451386999994</v>
      </c>
    </row>
    <row r="82" spans="1:16" s="2" customFormat="1" x14ac:dyDescent="0.25">
      <c r="A82" s="2">
        <v>300</v>
      </c>
      <c r="B82" s="18" t="s">
        <v>484</v>
      </c>
      <c r="C82" s="297" t="s">
        <v>703</v>
      </c>
      <c r="D82" s="164">
        <v>0</v>
      </c>
      <c r="E82" s="154">
        <f>IF(E$182=0,0,$D82*350)</f>
        <v>0</v>
      </c>
      <c r="F82" s="154">
        <f t="shared" ref="F82:P82" si="63">IF(F$182=0,0,$D82*350)</f>
        <v>0</v>
      </c>
      <c r="G82" s="154">
        <f t="shared" si="63"/>
        <v>0</v>
      </c>
      <c r="H82" s="154">
        <f t="shared" si="63"/>
        <v>0</v>
      </c>
      <c r="I82" s="154">
        <f t="shared" si="63"/>
        <v>0</v>
      </c>
      <c r="J82" s="154">
        <f t="shared" si="63"/>
        <v>0</v>
      </c>
      <c r="K82" s="154">
        <f t="shared" si="63"/>
        <v>0</v>
      </c>
      <c r="L82" s="154">
        <f t="shared" si="63"/>
        <v>0</v>
      </c>
      <c r="M82" s="154">
        <f t="shared" si="63"/>
        <v>0</v>
      </c>
      <c r="N82" s="154">
        <f t="shared" si="63"/>
        <v>0</v>
      </c>
      <c r="O82" s="154">
        <f t="shared" si="63"/>
        <v>0</v>
      </c>
      <c r="P82" s="154">
        <f t="shared" si="63"/>
        <v>0</v>
      </c>
    </row>
    <row r="83" spans="1:16" s="2" customFormat="1" x14ac:dyDescent="0.25">
      <c r="A83" s="2">
        <v>300</v>
      </c>
      <c r="B83" s="18" t="s">
        <v>755</v>
      </c>
      <c r="C83" s="2" t="s">
        <v>486</v>
      </c>
      <c r="D83" s="95">
        <v>0</v>
      </c>
      <c r="E83" s="10">
        <f>IF(E$182=0,0,($D83*E23)/$D$23)</f>
        <v>0</v>
      </c>
      <c r="F83" s="10">
        <f t="shared" ref="F83:P83" si="64">IF(F$182=0,0,($D83*F23)/$D$23)</f>
        <v>0</v>
      </c>
      <c r="G83" s="10">
        <f t="shared" si="64"/>
        <v>0</v>
      </c>
      <c r="H83" s="10">
        <f t="shared" si="64"/>
        <v>0</v>
      </c>
      <c r="I83" s="10">
        <f t="shared" si="64"/>
        <v>0</v>
      </c>
      <c r="J83" s="10">
        <f t="shared" si="64"/>
        <v>0</v>
      </c>
      <c r="K83" s="10">
        <f t="shared" si="64"/>
        <v>0</v>
      </c>
      <c r="L83" s="10">
        <f t="shared" si="64"/>
        <v>0</v>
      </c>
      <c r="M83" s="10">
        <f t="shared" si="64"/>
        <v>0</v>
      </c>
      <c r="N83" s="10">
        <f t="shared" si="64"/>
        <v>0</v>
      </c>
      <c r="O83" s="10">
        <f t="shared" si="64"/>
        <v>0</v>
      </c>
      <c r="P83" s="10">
        <f t="shared" si="64"/>
        <v>0</v>
      </c>
    </row>
    <row r="84" spans="1:16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0">
        <f>IF(E$182=0,0,($D84*E23)/$D$23)</f>
        <v>0</v>
      </c>
      <c r="F84" s="10">
        <f t="shared" ref="F84:P84" si="65">IF(F$182=0,0,($D84*F23)/$D$23)</f>
        <v>0</v>
      </c>
      <c r="G84" s="10">
        <f t="shared" si="65"/>
        <v>9640.2429703125017</v>
      </c>
      <c r="H84" s="10">
        <f t="shared" si="65"/>
        <v>13895.619639768753</v>
      </c>
      <c r="I84" s="10">
        <f t="shared" si="65"/>
        <v>15998.334198238565</v>
      </c>
      <c r="J84" s="10">
        <f t="shared" si="65"/>
        <v>16648.296295404998</v>
      </c>
      <c r="K84" s="10">
        <f t="shared" si="65"/>
        <v>17622.432366613986</v>
      </c>
      <c r="L84" s="10">
        <f t="shared" si="65"/>
        <v>18610.244012224484</v>
      </c>
      <c r="M84" s="10">
        <f t="shared" si="65"/>
        <v>19719.639161746316</v>
      </c>
      <c r="N84" s="10">
        <f t="shared" si="65"/>
        <v>20844.628412285285</v>
      </c>
      <c r="O84" s="10">
        <f t="shared" si="65"/>
        <v>22094.763288157501</v>
      </c>
      <c r="P84" s="10">
        <f t="shared" si="65"/>
        <v>23362.477676819617</v>
      </c>
    </row>
    <row r="85" spans="1:16" s="2" customFormat="1" hidden="1" outlineLevel="1" x14ac:dyDescent="0.25">
      <c r="A85" s="62">
        <v>6300</v>
      </c>
      <c r="B85" s="18" t="s">
        <v>595</v>
      </c>
      <c r="C85" s="297" t="s">
        <v>584</v>
      </c>
      <c r="D85" s="164">
        <v>0</v>
      </c>
      <c r="E85" s="154">
        <f>IF(E$182=0,0,$D85*250)</f>
        <v>0</v>
      </c>
      <c r="F85" s="154">
        <f t="shared" ref="F85:P85" si="66">IF(F$182=0,0,$D85*250)</f>
        <v>0</v>
      </c>
      <c r="G85" s="154">
        <f t="shared" si="66"/>
        <v>0</v>
      </c>
      <c r="H85" s="154">
        <f t="shared" si="66"/>
        <v>0</v>
      </c>
      <c r="I85" s="154">
        <f t="shared" si="66"/>
        <v>0</v>
      </c>
      <c r="J85" s="154">
        <f t="shared" si="66"/>
        <v>0</v>
      </c>
      <c r="K85" s="154">
        <f t="shared" si="66"/>
        <v>0</v>
      </c>
      <c r="L85" s="154">
        <f t="shared" si="66"/>
        <v>0</v>
      </c>
      <c r="M85" s="154">
        <f t="shared" si="66"/>
        <v>0</v>
      </c>
      <c r="N85" s="154">
        <f t="shared" si="66"/>
        <v>0</v>
      </c>
      <c r="O85" s="154">
        <f t="shared" si="66"/>
        <v>0</v>
      </c>
      <c r="P85" s="154">
        <f t="shared" si="66"/>
        <v>0</v>
      </c>
    </row>
    <row r="86" spans="1:16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0</v>
      </c>
      <c r="E86" s="154">
        <f t="shared" ref="E86:P86" si="67">IF(E$182=0,0,ROUND(($D86*(1+E$5))*E$182,0))</f>
        <v>0</v>
      </c>
      <c r="F86" s="154">
        <f t="shared" si="67"/>
        <v>0</v>
      </c>
      <c r="G86" s="154">
        <f t="shared" si="67"/>
        <v>0</v>
      </c>
      <c r="H86" s="154">
        <f t="shared" si="67"/>
        <v>0</v>
      </c>
      <c r="I86" s="154">
        <f t="shared" si="67"/>
        <v>0</v>
      </c>
      <c r="J86" s="154">
        <f t="shared" si="67"/>
        <v>0</v>
      </c>
      <c r="K86" s="154">
        <f t="shared" si="67"/>
        <v>0</v>
      </c>
      <c r="L86" s="154">
        <f t="shared" si="67"/>
        <v>0</v>
      </c>
      <c r="M86" s="154">
        <f t="shared" si="67"/>
        <v>0</v>
      </c>
      <c r="N86" s="154">
        <f t="shared" si="67"/>
        <v>0</v>
      </c>
      <c r="O86" s="154">
        <f t="shared" si="67"/>
        <v>0</v>
      </c>
      <c r="P86" s="154">
        <f t="shared" si="67"/>
        <v>0</v>
      </c>
    </row>
    <row r="87" spans="1:16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10</v>
      </c>
      <c r="E87" s="154">
        <f>IF(E$182=0,0,$D87*10)</f>
        <v>0</v>
      </c>
      <c r="F87" s="154">
        <f t="shared" ref="F87:P87" si="68">IF(F$182=0,0,$D87*10)</f>
        <v>0</v>
      </c>
      <c r="G87" s="154">
        <f t="shared" si="68"/>
        <v>100</v>
      </c>
      <c r="H87" s="154">
        <f t="shared" si="68"/>
        <v>100</v>
      </c>
      <c r="I87" s="154">
        <f t="shared" si="68"/>
        <v>100</v>
      </c>
      <c r="J87" s="154">
        <f t="shared" si="68"/>
        <v>100</v>
      </c>
      <c r="K87" s="154">
        <f t="shared" si="68"/>
        <v>100</v>
      </c>
      <c r="L87" s="154">
        <f t="shared" si="68"/>
        <v>100</v>
      </c>
      <c r="M87" s="154">
        <f t="shared" si="68"/>
        <v>100</v>
      </c>
      <c r="N87" s="154">
        <f t="shared" si="68"/>
        <v>100</v>
      </c>
      <c r="O87" s="154">
        <f t="shared" si="68"/>
        <v>100</v>
      </c>
      <c r="P87" s="154">
        <f t="shared" si="68"/>
        <v>100</v>
      </c>
    </row>
    <row r="88" spans="1:16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10</v>
      </c>
      <c r="E88" s="154">
        <f>IF(E$182=0,0,$D88*25)</f>
        <v>0</v>
      </c>
      <c r="F88" s="154">
        <f t="shared" ref="F88:P88" si="69">IF(F$182=0,0,$D88*25)</f>
        <v>0</v>
      </c>
      <c r="G88" s="154">
        <f t="shared" si="69"/>
        <v>250</v>
      </c>
      <c r="H88" s="154">
        <f t="shared" si="69"/>
        <v>250</v>
      </c>
      <c r="I88" s="154">
        <f t="shared" si="69"/>
        <v>250</v>
      </c>
      <c r="J88" s="154">
        <f t="shared" si="69"/>
        <v>250</v>
      </c>
      <c r="K88" s="154">
        <f t="shared" si="69"/>
        <v>250</v>
      </c>
      <c r="L88" s="154">
        <f t="shared" si="69"/>
        <v>250</v>
      </c>
      <c r="M88" s="154">
        <f t="shared" si="69"/>
        <v>250</v>
      </c>
      <c r="N88" s="154">
        <f t="shared" si="69"/>
        <v>250</v>
      </c>
      <c r="O88" s="154">
        <f t="shared" si="69"/>
        <v>250</v>
      </c>
      <c r="P88" s="154">
        <f t="shared" si="69"/>
        <v>250</v>
      </c>
    </row>
    <row r="89" spans="1:16" s="2" customFormat="1" hidden="1" outlineLevel="1" x14ac:dyDescent="0.25">
      <c r="A89" s="62">
        <v>6300</v>
      </c>
      <c r="B89" s="18" t="s">
        <v>598</v>
      </c>
      <c r="C89" s="2" t="s">
        <v>599</v>
      </c>
      <c r="D89" s="164">
        <v>4</v>
      </c>
      <c r="E89" s="154">
        <f>IF(E$182=0,0,$D89*40)</f>
        <v>0</v>
      </c>
      <c r="F89" s="154">
        <f t="shared" ref="F89:P89" si="70">IF(F$182=0,0,$D89*40)</f>
        <v>0</v>
      </c>
      <c r="G89" s="154">
        <f t="shared" si="70"/>
        <v>160</v>
      </c>
      <c r="H89" s="154">
        <f t="shared" si="70"/>
        <v>160</v>
      </c>
      <c r="I89" s="154">
        <f t="shared" si="70"/>
        <v>160</v>
      </c>
      <c r="J89" s="154">
        <f t="shared" si="70"/>
        <v>160</v>
      </c>
      <c r="K89" s="154">
        <f t="shared" si="70"/>
        <v>160</v>
      </c>
      <c r="L89" s="154">
        <f t="shared" si="70"/>
        <v>160</v>
      </c>
      <c r="M89" s="154">
        <f t="shared" si="70"/>
        <v>160</v>
      </c>
      <c r="N89" s="154">
        <f t="shared" si="70"/>
        <v>160</v>
      </c>
      <c r="O89" s="154">
        <f t="shared" si="70"/>
        <v>160</v>
      </c>
      <c r="P89" s="154">
        <f t="shared" si="70"/>
        <v>160</v>
      </c>
    </row>
    <row r="90" spans="1:16" s="2" customFormat="1" hidden="1" outlineLevel="1" x14ac:dyDescent="0.25">
      <c r="A90" s="62">
        <v>6300</v>
      </c>
      <c r="B90" s="18" t="s">
        <v>600</v>
      </c>
      <c r="C90" s="2" t="s">
        <v>602</v>
      </c>
      <c r="D90" s="164">
        <v>8</v>
      </c>
      <c r="E90" s="154">
        <f>IF(E$182=0,0,$D90*55)</f>
        <v>0</v>
      </c>
      <c r="F90" s="154">
        <f t="shared" ref="F90:P90" si="71">IF(F$182=0,0,$D90*55)</f>
        <v>0</v>
      </c>
      <c r="G90" s="154">
        <f t="shared" si="71"/>
        <v>440</v>
      </c>
      <c r="H90" s="154">
        <f t="shared" si="71"/>
        <v>440</v>
      </c>
      <c r="I90" s="154">
        <f t="shared" si="71"/>
        <v>440</v>
      </c>
      <c r="J90" s="154">
        <f t="shared" si="71"/>
        <v>440</v>
      </c>
      <c r="K90" s="154">
        <f t="shared" si="71"/>
        <v>440</v>
      </c>
      <c r="L90" s="154">
        <f t="shared" si="71"/>
        <v>440</v>
      </c>
      <c r="M90" s="154">
        <f t="shared" si="71"/>
        <v>440</v>
      </c>
      <c r="N90" s="154">
        <f t="shared" si="71"/>
        <v>440</v>
      </c>
      <c r="O90" s="154">
        <f t="shared" si="71"/>
        <v>440</v>
      </c>
      <c r="P90" s="154">
        <f t="shared" si="71"/>
        <v>440</v>
      </c>
    </row>
    <row r="91" spans="1:16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154">
        <f>IF(E$182=0,0,$D91*50)</f>
        <v>0</v>
      </c>
      <c r="F91" s="154">
        <f t="shared" ref="F91:P91" si="72">IF(F$182=0,0,$D91*50)</f>
        <v>0</v>
      </c>
      <c r="G91" s="11">
        <f t="shared" si="72"/>
        <v>0</v>
      </c>
      <c r="H91" s="11">
        <f t="shared" si="72"/>
        <v>0</v>
      </c>
      <c r="I91" s="11">
        <f t="shared" si="72"/>
        <v>0</v>
      </c>
      <c r="J91" s="11">
        <f t="shared" si="72"/>
        <v>0</v>
      </c>
      <c r="K91" s="11">
        <f t="shared" si="72"/>
        <v>0</v>
      </c>
      <c r="L91" s="11">
        <f t="shared" si="72"/>
        <v>0</v>
      </c>
      <c r="M91" s="11">
        <f t="shared" si="72"/>
        <v>0</v>
      </c>
      <c r="N91" s="11">
        <f t="shared" si="72"/>
        <v>0</v>
      </c>
      <c r="O91" s="11">
        <f t="shared" si="72"/>
        <v>0</v>
      </c>
      <c r="P91" s="11">
        <f t="shared" si="72"/>
        <v>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154">
        <f>SUM(E85:E91)</f>
        <v>0</v>
      </c>
      <c r="F92" s="154">
        <f t="shared" ref="F92:P92" si="73">SUM(F85:F91)</f>
        <v>0</v>
      </c>
      <c r="G92" s="154">
        <f t="shared" si="73"/>
        <v>950</v>
      </c>
      <c r="H92" s="154">
        <f t="shared" si="73"/>
        <v>950</v>
      </c>
      <c r="I92" s="154">
        <f t="shared" si="73"/>
        <v>950</v>
      </c>
      <c r="J92" s="154">
        <f t="shared" si="73"/>
        <v>950</v>
      </c>
      <c r="K92" s="154">
        <f t="shared" si="73"/>
        <v>950</v>
      </c>
      <c r="L92" s="154">
        <f t="shared" si="73"/>
        <v>950</v>
      </c>
      <c r="M92" s="154">
        <f t="shared" si="73"/>
        <v>950</v>
      </c>
      <c r="N92" s="154">
        <f t="shared" si="73"/>
        <v>950</v>
      </c>
      <c r="O92" s="154">
        <f t="shared" si="73"/>
        <v>950</v>
      </c>
      <c r="P92" s="154">
        <f t="shared" si="73"/>
        <v>950</v>
      </c>
    </row>
    <row r="93" spans="1:16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154">
        <f t="shared" ref="E93:P94" si="74">IF(E$182=0,0,($D93*(1+E$5)))</f>
        <v>0</v>
      </c>
      <c r="F93" s="154">
        <f t="shared" si="74"/>
        <v>0</v>
      </c>
      <c r="G93" s="154">
        <f t="shared" si="74"/>
        <v>0</v>
      </c>
      <c r="H93" s="154">
        <f t="shared" si="74"/>
        <v>0</v>
      </c>
      <c r="I93" s="154">
        <f t="shared" si="74"/>
        <v>0</v>
      </c>
      <c r="J93" s="154">
        <f t="shared" si="74"/>
        <v>0</v>
      </c>
      <c r="K93" s="154">
        <f t="shared" si="74"/>
        <v>0</v>
      </c>
      <c r="L93" s="154">
        <f t="shared" si="74"/>
        <v>0</v>
      </c>
      <c r="M93" s="154">
        <f t="shared" si="74"/>
        <v>0</v>
      </c>
      <c r="N93" s="154">
        <f t="shared" si="74"/>
        <v>0</v>
      </c>
      <c r="O93" s="154">
        <f t="shared" si="74"/>
        <v>0</v>
      </c>
      <c r="P93" s="154">
        <f t="shared" si="74"/>
        <v>0</v>
      </c>
    </row>
    <row r="94" spans="1:16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54">
        <f t="shared" si="74"/>
        <v>0</v>
      </c>
      <c r="F94" s="154">
        <f t="shared" si="74"/>
        <v>0</v>
      </c>
      <c r="G94" s="154">
        <f t="shared" si="74"/>
        <v>0</v>
      </c>
      <c r="H94" s="154">
        <f t="shared" si="74"/>
        <v>0</v>
      </c>
      <c r="I94" s="154">
        <f t="shared" si="74"/>
        <v>0</v>
      </c>
      <c r="J94" s="154">
        <f t="shared" si="74"/>
        <v>0</v>
      </c>
      <c r="K94" s="154">
        <f t="shared" si="74"/>
        <v>0</v>
      </c>
      <c r="L94" s="154">
        <f t="shared" si="74"/>
        <v>0</v>
      </c>
      <c r="M94" s="154">
        <f t="shared" si="74"/>
        <v>0</v>
      </c>
      <c r="N94" s="154">
        <f t="shared" si="74"/>
        <v>0</v>
      </c>
      <c r="O94" s="154">
        <f t="shared" si="74"/>
        <v>0</v>
      </c>
      <c r="P94" s="154">
        <f t="shared" si="74"/>
        <v>0</v>
      </c>
    </row>
    <row r="95" spans="1:16" s="2" customFormat="1" hidden="1" outlineLevel="2" x14ac:dyDescent="0.25">
      <c r="A95" s="62">
        <v>6320</v>
      </c>
      <c r="B95" s="18" t="s">
        <v>433</v>
      </c>
      <c r="C95" s="2" t="s">
        <v>603</v>
      </c>
      <c r="D95" s="96">
        <v>1000</v>
      </c>
      <c r="E95" s="154">
        <f>IF(E$182=0,0,($D95*(0.5*E185)))</f>
        <v>0</v>
      </c>
      <c r="F95" s="154">
        <f t="shared" ref="F95:P95" si="75">IF(F$182=0,0,($D95*(0.5*F185)))</f>
        <v>0</v>
      </c>
      <c r="G95" s="11">
        <f t="shared" si="75"/>
        <v>1000</v>
      </c>
      <c r="H95" s="11">
        <f t="shared" si="75"/>
        <v>1500</v>
      </c>
      <c r="I95" s="11">
        <f t="shared" si="75"/>
        <v>1500</v>
      </c>
      <c r="J95" s="11">
        <f t="shared" si="75"/>
        <v>1500</v>
      </c>
      <c r="K95" s="11">
        <f t="shared" si="75"/>
        <v>1500</v>
      </c>
      <c r="L95" s="11">
        <f t="shared" si="75"/>
        <v>1500</v>
      </c>
      <c r="M95" s="11">
        <f t="shared" si="75"/>
        <v>2000</v>
      </c>
      <c r="N95" s="11">
        <f t="shared" si="75"/>
        <v>2000</v>
      </c>
      <c r="O95" s="11">
        <f t="shared" si="75"/>
        <v>2000</v>
      </c>
      <c r="P95" s="11">
        <f t="shared" si="75"/>
        <v>2000</v>
      </c>
    </row>
    <row r="96" spans="1:16" s="2" customFormat="1" collapsed="1" x14ac:dyDescent="0.25">
      <c r="A96" s="2">
        <v>320</v>
      </c>
      <c r="B96" s="18" t="s">
        <v>434</v>
      </c>
      <c r="E96" s="154">
        <f>SUM(E93:E95)</f>
        <v>0</v>
      </c>
      <c r="F96" s="154">
        <f t="shared" ref="F96:P96" si="76">SUM(F93:F95)</f>
        <v>0</v>
      </c>
      <c r="G96" s="154">
        <f t="shared" si="76"/>
        <v>1000</v>
      </c>
      <c r="H96" s="154">
        <f t="shared" si="76"/>
        <v>1500</v>
      </c>
      <c r="I96" s="154">
        <f t="shared" si="76"/>
        <v>1500</v>
      </c>
      <c r="J96" s="154">
        <f t="shared" si="76"/>
        <v>1500</v>
      </c>
      <c r="K96" s="154">
        <f t="shared" si="76"/>
        <v>1500</v>
      </c>
      <c r="L96" s="154">
        <f t="shared" si="76"/>
        <v>1500</v>
      </c>
      <c r="M96" s="154">
        <f t="shared" si="76"/>
        <v>2000</v>
      </c>
      <c r="N96" s="154">
        <f t="shared" si="76"/>
        <v>2000</v>
      </c>
      <c r="O96" s="154">
        <f t="shared" si="76"/>
        <v>2000</v>
      </c>
      <c r="P96" s="154">
        <f t="shared" si="76"/>
        <v>2000</v>
      </c>
    </row>
    <row r="97" spans="1:16" s="2" customFormat="1" hidden="1" outlineLevel="2" x14ac:dyDescent="0.25">
      <c r="A97" s="62">
        <v>6331</v>
      </c>
      <c r="B97" s="18" t="s">
        <v>436</v>
      </c>
      <c r="C97" s="302" t="s">
        <v>630</v>
      </c>
      <c r="D97" s="96">
        <v>500</v>
      </c>
      <c r="E97" s="154">
        <f>IF(E$182=0,0,((SUMIFS(E$188:E$196,$A$188:$A$196,$A188)))*$D97)</f>
        <v>0</v>
      </c>
      <c r="F97" s="154">
        <f t="shared" ref="F97:P97" si="77">IF(F$182=0,0,((SUMIFS(F$188:F$196,$A$188:$A$196,$A188)))*$D97)</f>
        <v>0</v>
      </c>
      <c r="G97" s="154">
        <f t="shared" si="77"/>
        <v>0</v>
      </c>
      <c r="H97" s="154">
        <f t="shared" si="77"/>
        <v>0</v>
      </c>
      <c r="I97" s="154">
        <f t="shared" si="77"/>
        <v>0</v>
      </c>
      <c r="J97" s="154">
        <f t="shared" si="77"/>
        <v>0</v>
      </c>
      <c r="K97" s="154">
        <f t="shared" si="77"/>
        <v>0</v>
      </c>
      <c r="L97" s="154">
        <f t="shared" si="77"/>
        <v>0</v>
      </c>
      <c r="M97" s="154">
        <f t="shared" si="77"/>
        <v>0</v>
      </c>
      <c r="N97" s="154">
        <f t="shared" si="77"/>
        <v>0</v>
      </c>
      <c r="O97" s="154">
        <f t="shared" si="77"/>
        <v>0</v>
      </c>
      <c r="P97" s="154">
        <f t="shared" si="77"/>
        <v>0</v>
      </c>
    </row>
    <row r="98" spans="1:16" s="2" customFormat="1" hidden="1" outlineLevel="2" x14ac:dyDescent="0.25">
      <c r="A98" s="62">
        <v>6333</v>
      </c>
      <c r="B98" s="18" t="s">
        <v>437</v>
      </c>
      <c r="C98" s="302" t="s">
        <v>629</v>
      </c>
      <c r="D98" s="96">
        <v>2000</v>
      </c>
      <c r="E98" s="154">
        <f>IF(E$182=0,0,((SUMIFS(E$188:E$196,$A$188:$A$196,$A189)))*$D98)</f>
        <v>0</v>
      </c>
      <c r="F98" s="154">
        <f t="shared" ref="F98:P98" si="78">IF(F$182=0,0,((SUMIFS(F$188:F$196,$A$188:$A$196,$A189)))*$D98)</f>
        <v>0</v>
      </c>
      <c r="G98" s="154">
        <f t="shared" si="78"/>
        <v>2000</v>
      </c>
      <c r="H98" s="154">
        <f t="shared" si="78"/>
        <v>2000</v>
      </c>
      <c r="I98" s="154">
        <f t="shared" si="78"/>
        <v>2000</v>
      </c>
      <c r="J98" s="154">
        <f t="shared" si="78"/>
        <v>2000</v>
      </c>
      <c r="K98" s="154">
        <f t="shared" si="78"/>
        <v>2000</v>
      </c>
      <c r="L98" s="154">
        <f t="shared" si="78"/>
        <v>2000</v>
      </c>
      <c r="M98" s="154">
        <f t="shared" si="78"/>
        <v>2000</v>
      </c>
      <c r="N98" s="154">
        <f t="shared" si="78"/>
        <v>2000</v>
      </c>
      <c r="O98" s="154">
        <f t="shared" si="78"/>
        <v>2000</v>
      </c>
      <c r="P98" s="154">
        <f t="shared" si="78"/>
        <v>2000</v>
      </c>
    </row>
    <row r="99" spans="1:16" s="2" customFormat="1" hidden="1" outlineLevel="2" x14ac:dyDescent="0.25">
      <c r="A99" s="62">
        <v>6336</v>
      </c>
      <c r="B99" s="18" t="s">
        <v>438</v>
      </c>
      <c r="C99" s="302" t="s">
        <v>631</v>
      </c>
      <c r="D99" s="96">
        <v>200</v>
      </c>
      <c r="E99" s="154">
        <f>IF(E$182=0,0,((SUMIFS(E$188:E$196,$A$188:$A$196,$A190)))*$D99)</f>
        <v>0</v>
      </c>
      <c r="F99" s="154">
        <f t="shared" ref="F99:P99" si="79">IF(F$182=0,0,((SUMIFS(F$188:F$196,$A$188:$A$196,$A190)))*$D99)</f>
        <v>0</v>
      </c>
      <c r="G99" s="154">
        <f t="shared" si="79"/>
        <v>0</v>
      </c>
      <c r="H99" s="154">
        <f t="shared" si="79"/>
        <v>200</v>
      </c>
      <c r="I99" s="154">
        <f t="shared" si="79"/>
        <v>200</v>
      </c>
      <c r="J99" s="154">
        <f t="shared" si="79"/>
        <v>200</v>
      </c>
      <c r="K99" s="154">
        <f t="shared" si="79"/>
        <v>200</v>
      </c>
      <c r="L99" s="154">
        <f t="shared" si="79"/>
        <v>200</v>
      </c>
      <c r="M99" s="154">
        <f t="shared" si="79"/>
        <v>200</v>
      </c>
      <c r="N99" s="154">
        <f t="shared" si="79"/>
        <v>200</v>
      </c>
      <c r="O99" s="154">
        <f t="shared" si="79"/>
        <v>200</v>
      </c>
      <c r="P99" s="154">
        <f t="shared" si="79"/>
        <v>200</v>
      </c>
    </row>
    <row r="100" spans="1:16" s="2" customFormat="1" hidden="1" outlineLevel="2" x14ac:dyDescent="0.25">
      <c r="A100" s="62">
        <v>6337</v>
      </c>
      <c r="B100" s="18" t="s">
        <v>439</v>
      </c>
      <c r="C100" s="302" t="s">
        <v>632</v>
      </c>
      <c r="D100" s="85">
        <v>250</v>
      </c>
      <c r="E100" s="154">
        <f>IF(E$182=0,0,((SUMIFS(E$188:E$196,$A$188:$A$196,$A191)))*$D100)</f>
        <v>0</v>
      </c>
      <c r="F100" s="154">
        <f t="shared" ref="F100:P100" si="80">IF(F$182=0,0,((SUMIFS(F$188:F$196,$A$188:$A$196,$A191)))*$D100)</f>
        <v>0</v>
      </c>
      <c r="G100" s="154">
        <f t="shared" si="80"/>
        <v>250</v>
      </c>
      <c r="H100" s="154">
        <f t="shared" si="80"/>
        <v>500</v>
      </c>
      <c r="I100" s="154">
        <f t="shared" si="80"/>
        <v>500</v>
      </c>
      <c r="J100" s="154">
        <f t="shared" si="80"/>
        <v>500</v>
      </c>
      <c r="K100" s="154">
        <f t="shared" si="80"/>
        <v>500</v>
      </c>
      <c r="L100" s="154">
        <f t="shared" si="80"/>
        <v>500</v>
      </c>
      <c r="M100" s="154">
        <f t="shared" si="80"/>
        <v>500</v>
      </c>
      <c r="N100" s="154">
        <f t="shared" si="80"/>
        <v>500</v>
      </c>
      <c r="O100" s="154">
        <f t="shared" si="80"/>
        <v>500</v>
      </c>
      <c r="P100" s="154">
        <f t="shared" si="80"/>
        <v>500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54">
        <f>SUM(E97:E100)</f>
        <v>0</v>
      </c>
      <c r="F101" s="154">
        <f t="shared" ref="F101:P101" si="81">SUM(F97:F100)</f>
        <v>0</v>
      </c>
      <c r="G101" s="154">
        <f t="shared" si="81"/>
        <v>2250</v>
      </c>
      <c r="H101" s="154">
        <f t="shared" si="81"/>
        <v>2700</v>
      </c>
      <c r="I101" s="154">
        <f t="shared" si="81"/>
        <v>2700</v>
      </c>
      <c r="J101" s="154">
        <f t="shared" si="81"/>
        <v>2700</v>
      </c>
      <c r="K101" s="154">
        <f t="shared" si="81"/>
        <v>2700</v>
      </c>
      <c r="L101" s="154">
        <f t="shared" si="81"/>
        <v>2700</v>
      </c>
      <c r="M101" s="154">
        <f t="shared" si="81"/>
        <v>2700</v>
      </c>
      <c r="N101" s="154">
        <f t="shared" si="81"/>
        <v>2700</v>
      </c>
      <c r="O101" s="154">
        <f t="shared" si="81"/>
        <v>2700</v>
      </c>
      <c r="P101" s="154">
        <f t="shared" si="81"/>
        <v>2700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54">
        <f t="shared" ref="E102:P107" si="82">IF(E$182=0,0,$D102)</f>
        <v>0</v>
      </c>
      <c r="F102" s="154">
        <f t="shared" si="82"/>
        <v>0</v>
      </c>
      <c r="G102" s="154">
        <f t="shared" si="82"/>
        <v>0</v>
      </c>
      <c r="H102" s="154">
        <f t="shared" si="82"/>
        <v>0</v>
      </c>
      <c r="I102" s="154">
        <f t="shared" si="82"/>
        <v>0</v>
      </c>
      <c r="J102" s="154">
        <f t="shared" si="82"/>
        <v>0</v>
      </c>
      <c r="K102" s="154">
        <f t="shared" si="82"/>
        <v>0</v>
      </c>
      <c r="L102" s="154">
        <f t="shared" si="82"/>
        <v>0</v>
      </c>
      <c r="M102" s="154">
        <f t="shared" si="82"/>
        <v>0</v>
      </c>
      <c r="N102" s="154">
        <f t="shared" si="82"/>
        <v>0</v>
      </c>
      <c r="O102" s="154">
        <f t="shared" si="82"/>
        <v>0</v>
      </c>
      <c r="P102" s="154">
        <f t="shared" si="82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0</v>
      </c>
      <c r="E103" s="154">
        <f t="shared" si="82"/>
        <v>0</v>
      </c>
      <c r="F103" s="154">
        <f t="shared" si="82"/>
        <v>0</v>
      </c>
      <c r="G103" s="154">
        <f t="shared" si="82"/>
        <v>0</v>
      </c>
      <c r="H103" s="154">
        <f t="shared" si="82"/>
        <v>0</v>
      </c>
      <c r="I103" s="154">
        <f t="shared" si="82"/>
        <v>0</v>
      </c>
      <c r="J103" s="154">
        <f t="shared" si="82"/>
        <v>0</v>
      </c>
      <c r="K103" s="154">
        <f t="shared" si="82"/>
        <v>0</v>
      </c>
      <c r="L103" s="154">
        <f t="shared" si="82"/>
        <v>0</v>
      </c>
      <c r="M103" s="154">
        <f t="shared" si="82"/>
        <v>0</v>
      </c>
      <c r="N103" s="154">
        <f t="shared" si="82"/>
        <v>0</v>
      </c>
      <c r="O103" s="154">
        <f t="shared" si="82"/>
        <v>0</v>
      </c>
      <c r="P103" s="154">
        <f t="shared" si="82"/>
        <v>0</v>
      </c>
    </row>
    <row r="104" spans="1:16" s="2" customFormat="1" x14ac:dyDescent="0.25">
      <c r="A104" s="2">
        <v>340</v>
      </c>
      <c r="B104" s="18" t="s">
        <v>489</v>
      </c>
      <c r="C104" s="297" t="s">
        <v>604</v>
      </c>
      <c r="D104" s="96">
        <v>0</v>
      </c>
      <c r="E104" s="154">
        <f t="shared" si="82"/>
        <v>0</v>
      </c>
      <c r="F104" s="154">
        <f t="shared" si="82"/>
        <v>0</v>
      </c>
      <c r="G104" s="154">
        <f t="shared" si="82"/>
        <v>0</v>
      </c>
      <c r="H104" s="154">
        <f t="shared" si="82"/>
        <v>0</v>
      </c>
      <c r="I104" s="154">
        <f t="shared" si="82"/>
        <v>0</v>
      </c>
      <c r="J104" s="154">
        <f t="shared" si="82"/>
        <v>0</v>
      </c>
      <c r="K104" s="154">
        <f t="shared" si="82"/>
        <v>0</v>
      </c>
      <c r="L104" s="154">
        <f t="shared" si="82"/>
        <v>0</v>
      </c>
      <c r="M104" s="154">
        <f t="shared" si="82"/>
        <v>0</v>
      </c>
      <c r="N104" s="154">
        <f t="shared" si="82"/>
        <v>0</v>
      </c>
      <c r="O104" s="154">
        <f t="shared" si="82"/>
        <v>0</v>
      </c>
      <c r="P104" s="154">
        <f t="shared" si="82"/>
        <v>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0</v>
      </c>
      <c r="E105" s="154">
        <f t="shared" si="82"/>
        <v>0</v>
      </c>
      <c r="F105" s="154">
        <f t="shared" si="82"/>
        <v>0</v>
      </c>
      <c r="G105" s="154">
        <f t="shared" si="82"/>
        <v>0</v>
      </c>
      <c r="H105" s="154">
        <f t="shared" si="82"/>
        <v>0</v>
      </c>
      <c r="I105" s="154">
        <f t="shared" si="82"/>
        <v>0</v>
      </c>
      <c r="J105" s="154">
        <f t="shared" si="82"/>
        <v>0</v>
      </c>
      <c r="K105" s="154">
        <f t="shared" si="82"/>
        <v>0</v>
      </c>
      <c r="L105" s="154">
        <f t="shared" si="82"/>
        <v>0</v>
      </c>
      <c r="M105" s="154">
        <f t="shared" si="82"/>
        <v>0</v>
      </c>
      <c r="N105" s="154">
        <f t="shared" si="82"/>
        <v>0</v>
      </c>
      <c r="O105" s="154">
        <f t="shared" si="82"/>
        <v>0</v>
      </c>
      <c r="P105" s="154">
        <f t="shared" si="82"/>
        <v>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604</v>
      </c>
      <c r="D106" s="96">
        <v>0</v>
      </c>
      <c r="E106" s="154">
        <f t="shared" si="82"/>
        <v>0</v>
      </c>
      <c r="F106" s="154">
        <f t="shared" si="82"/>
        <v>0</v>
      </c>
      <c r="G106" s="154">
        <f t="shared" si="82"/>
        <v>0</v>
      </c>
      <c r="H106" s="154">
        <f t="shared" si="82"/>
        <v>0</v>
      </c>
      <c r="I106" s="154">
        <f t="shared" si="82"/>
        <v>0</v>
      </c>
      <c r="J106" s="154">
        <f t="shared" si="82"/>
        <v>0</v>
      </c>
      <c r="K106" s="154">
        <f t="shared" si="82"/>
        <v>0</v>
      </c>
      <c r="L106" s="154">
        <f t="shared" si="82"/>
        <v>0</v>
      </c>
      <c r="M106" s="154">
        <f t="shared" si="82"/>
        <v>0</v>
      </c>
      <c r="N106" s="154">
        <f t="shared" si="82"/>
        <v>0</v>
      </c>
      <c r="O106" s="154">
        <f t="shared" si="82"/>
        <v>0</v>
      </c>
      <c r="P106" s="154">
        <f t="shared" si="82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154">
        <f t="shared" si="82"/>
        <v>0</v>
      </c>
      <c r="F107" s="154">
        <f t="shared" si="82"/>
        <v>0</v>
      </c>
      <c r="G107" s="11">
        <f t="shared" si="82"/>
        <v>0</v>
      </c>
      <c r="H107" s="11">
        <f t="shared" si="82"/>
        <v>0</v>
      </c>
      <c r="I107" s="11">
        <f t="shared" si="82"/>
        <v>0</v>
      </c>
      <c r="J107" s="11">
        <f t="shared" si="82"/>
        <v>0</v>
      </c>
      <c r="K107" s="11">
        <f t="shared" si="82"/>
        <v>0</v>
      </c>
      <c r="L107" s="11">
        <f t="shared" si="82"/>
        <v>0</v>
      </c>
      <c r="M107" s="11">
        <f t="shared" si="82"/>
        <v>0</v>
      </c>
      <c r="N107" s="11">
        <f t="shared" si="82"/>
        <v>0</v>
      </c>
      <c r="O107" s="11">
        <f t="shared" si="82"/>
        <v>0</v>
      </c>
      <c r="P107" s="11">
        <f t="shared" si="82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54">
        <f>SUM(E106:E107)</f>
        <v>0</v>
      </c>
      <c r="F108" s="154">
        <f t="shared" ref="F108:P108" si="83">SUM(F106:F107)</f>
        <v>0</v>
      </c>
      <c r="G108" s="154">
        <f t="shared" si="83"/>
        <v>0</v>
      </c>
      <c r="H108" s="154">
        <f t="shared" si="83"/>
        <v>0</v>
      </c>
      <c r="I108" s="154">
        <f t="shared" si="83"/>
        <v>0</v>
      </c>
      <c r="J108" s="154">
        <f t="shared" si="83"/>
        <v>0</v>
      </c>
      <c r="K108" s="154">
        <f t="shared" si="83"/>
        <v>0</v>
      </c>
      <c r="L108" s="154">
        <f t="shared" si="83"/>
        <v>0</v>
      </c>
      <c r="M108" s="154">
        <f t="shared" si="83"/>
        <v>0</v>
      </c>
      <c r="N108" s="154">
        <f t="shared" si="83"/>
        <v>0</v>
      </c>
      <c r="O108" s="154">
        <f t="shared" si="83"/>
        <v>0</v>
      </c>
      <c r="P108" s="154">
        <f t="shared" si="83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656</v>
      </c>
      <c r="D109" s="164">
        <v>0</v>
      </c>
      <c r="E109" s="154">
        <f>IF(E$182=0,0,($D109*100))</f>
        <v>0</v>
      </c>
      <c r="F109" s="154">
        <f t="shared" ref="F109:P109" si="84">IF(F$182=0,0,($D109*100))</f>
        <v>0</v>
      </c>
      <c r="G109" s="154">
        <f t="shared" si="84"/>
        <v>0</v>
      </c>
      <c r="H109" s="154">
        <f t="shared" si="84"/>
        <v>0</v>
      </c>
      <c r="I109" s="154">
        <f t="shared" si="84"/>
        <v>0</v>
      </c>
      <c r="J109" s="154">
        <f t="shared" si="84"/>
        <v>0</v>
      </c>
      <c r="K109" s="154">
        <f t="shared" si="84"/>
        <v>0</v>
      </c>
      <c r="L109" s="154">
        <f t="shared" si="84"/>
        <v>0</v>
      </c>
      <c r="M109" s="154">
        <f t="shared" si="84"/>
        <v>0</v>
      </c>
      <c r="N109" s="154">
        <f t="shared" si="84"/>
        <v>0</v>
      </c>
      <c r="O109" s="154">
        <f t="shared" si="84"/>
        <v>0</v>
      </c>
      <c r="P109" s="154">
        <f t="shared" si="84"/>
        <v>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5">ROUND((($D110*(1+F$11))*F$182*1.5),0)</f>
        <v>0</v>
      </c>
      <c r="G110" s="10">
        <f t="shared" si="85"/>
        <v>0</v>
      </c>
      <c r="H110" s="10">
        <f t="shared" si="85"/>
        <v>0</v>
      </c>
      <c r="I110" s="10">
        <f t="shared" si="85"/>
        <v>0</v>
      </c>
      <c r="J110" s="10">
        <f t="shared" si="85"/>
        <v>0</v>
      </c>
      <c r="K110" s="10">
        <f t="shared" si="85"/>
        <v>0</v>
      </c>
      <c r="L110" s="10">
        <f t="shared" si="85"/>
        <v>0</v>
      </c>
      <c r="M110" s="10">
        <f t="shared" si="85"/>
        <v>0</v>
      </c>
      <c r="N110" s="10">
        <f t="shared" si="85"/>
        <v>0</v>
      </c>
      <c r="O110" s="10">
        <f t="shared" si="85"/>
        <v>0</v>
      </c>
      <c r="P110" s="10">
        <f t="shared" si="85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701</v>
      </c>
      <c r="D111" s="199">
        <v>40</v>
      </c>
      <c r="E111" s="10">
        <f>ROUND((($D111*(1+E$11))*E$182*0.75),0)</f>
        <v>0</v>
      </c>
      <c r="F111" s="10">
        <f t="shared" ref="F111:P111" si="86">ROUND((($D111*(1+F$11))*F$182*0.75),0)</f>
        <v>0</v>
      </c>
      <c r="G111" s="10">
        <f t="shared" si="86"/>
        <v>2808</v>
      </c>
      <c r="H111" s="10">
        <f t="shared" si="86"/>
        <v>4134</v>
      </c>
      <c r="I111" s="10">
        <f t="shared" si="86"/>
        <v>4860</v>
      </c>
      <c r="J111" s="10">
        <f t="shared" si="86"/>
        <v>5214</v>
      </c>
      <c r="K111" s="10">
        <f t="shared" si="86"/>
        <v>5578</v>
      </c>
      <c r="L111" s="10">
        <f t="shared" si="86"/>
        <v>5951</v>
      </c>
      <c r="M111" s="10">
        <f t="shared" si="86"/>
        <v>6368</v>
      </c>
      <c r="N111" s="10">
        <f t="shared" si="86"/>
        <v>6797</v>
      </c>
      <c r="O111" s="10">
        <f t="shared" si="86"/>
        <v>7272</v>
      </c>
      <c r="P111" s="10">
        <f t="shared" si="86"/>
        <v>7759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0</v>
      </c>
      <c r="F112" s="10">
        <f t="shared" ref="F112:P113" si="87">ROUND((($D112*(1+F$11))*F$182),0)</f>
        <v>0</v>
      </c>
      <c r="G112" s="10">
        <f t="shared" si="87"/>
        <v>655</v>
      </c>
      <c r="H112" s="10">
        <f t="shared" si="87"/>
        <v>965</v>
      </c>
      <c r="I112" s="10">
        <f t="shared" si="87"/>
        <v>1134</v>
      </c>
      <c r="J112" s="10">
        <f t="shared" si="87"/>
        <v>1217</v>
      </c>
      <c r="K112" s="10">
        <f t="shared" si="87"/>
        <v>1301</v>
      </c>
      <c r="L112" s="10">
        <f t="shared" si="87"/>
        <v>1389</v>
      </c>
      <c r="M112" s="10">
        <f t="shared" si="87"/>
        <v>1486</v>
      </c>
      <c r="N112" s="10">
        <f t="shared" si="87"/>
        <v>1586</v>
      </c>
      <c r="O112" s="10">
        <f t="shared" si="87"/>
        <v>1697</v>
      </c>
      <c r="P112" s="10">
        <f t="shared" si="87"/>
        <v>1810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0</v>
      </c>
      <c r="F113" s="11">
        <f t="shared" si="87"/>
        <v>0</v>
      </c>
      <c r="G113" s="11">
        <f t="shared" si="87"/>
        <v>936</v>
      </c>
      <c r="H113" s="11">
        <f t="shared" si="87"/>
        <v>1378</v>
      </c>
      <c r="I113" s="11">
        <f t="shared" si="87"/>
        <v>1620</v>
      </c>
      <c r="J113" s="11">
        <f t="shared" si="87"/>
        <v>1738</v>
      </c>
      <c r="K113" s="11">
        <f t="shared" si="87"/>
        <v>1859</v>
      </c>
      <c r="L113" s="11">
        <f t="shared" si="87"/>
        <v>1984</v>
      </c>
      <c r="M113" s="11">
        <f t="shared" si="87"/>
        <v>2123</v>
      </c>
      <c r="N113" s="11">
        <f t="shared" si="87"/>
        <v>2266</v>
      </c>
      <c r="O113" s="11">
        <f t="shared" si="87"/>
        <v>2424</v>
      </c>
      <c r="P113" s="11">
        <f t="shared" si="87"/>
        <v>2586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54">
        <f>SUM(E110:E113)</f>
        <v>0</v>
      </c>
      <c r="F114" s="154">
        <f t="shared" ref="F114:P114" si="88">SUM(F110:F113)</f>
        <v>0</v>
      </c>
      <c r="G114" s="154">
        <f t="shared" si="88"/>
        <v>4399</v>
      </c>
      <c r="H114" s="154">
        <f t="shared" si="88"/>
        <v>6477</v>
      </c>
      <c r="I114" s="154">
        <f t="shared" si="88"/>
        <v>7614</v>
      </c>
      <c r="J114" s="154">
        <f t="shared" si="88"/>
        <v>8169</v>
      </c>
      <c r="K114" s="154">
        <f t="shared" si="88"/>
        <v>8738</v>
      </c>
      <c r="L114" s="154">
        <f t="shared" si="88"/>
        <v>9324</v>
      </c>
      <c r="M114" s="154">
        <f t="shared" si="88"/>
        <v>9977</v>
      </c>
      <c r="N114" s="154">
        <f t="shared" si="88"/>
        <v>10649</v>
      </c>
      <c r="O114" s="154">
        <f t="shared" si="88"/>
        <v>11393</v>
      </c>
      <c r="P114" s="154">
        <f t="shared" si="88"/>
        <v>12155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/>
      <c r="E115" s="154">
        <f t="shared" ref="E115:P115" si="89">IF(E$182=0,0,($D115*12)*(1+E$11))</f>
        <v>0</v>
      </c>
      <c r="F115" s="154">
        <f t="shared" si="89"/>
        <v>0</v>
      </c>
      <c r="G115" s="154">
        <f t="shared" si="89"/>
        <v>0</v>
      </c>
      <c r="H115" s="154">
        <f t="shared" si="89"/>
        <v>0</v>
      </c>
      <c r="I115" s="154">
        <f t="shared" si="89"/>
        <v>0</v>
      </c>
      <c r="J115" s="154">
        <f t="shared" si="89"/>
        <v>0</v>
      </c>
      <c r="K115" s="154">
        <f t="shared" si="89"/>
        <v>0</v>
      </c>
      <c r="L115" s="154">
        <f t="shared" si="89"/>
        <v>0</v>
      </c>
      <c r="M115" s="154">
        <f t="shared" si="89"/>
        <v>0</v>
      </c>
      <c r="N115" s="154">
        <f t="shared" si="89"/>
        <v>0</v>
      </c>
      <c r="O115" s="154">
        <f t="shared" si="89"/>
        <v>0</v>
      </c>
      <c r="P115" s="154">
        <f t="shared" si="89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43</v>
      </c>
      <c r="E116" s="154">
        <f>IF(E$182=0,0,$D116*12)</f>
        <v>0</v>
      </c>
      <c r="F116" s="154">
        <f>IF(F$182=0,0,$D116*12)</f>
        <v>0</v>
      </c>
      <c r="G116" s="154">
        <f>IF(G$182=0,0,$D116*12)</f>
        <v>516</v>
      </c>
      <c r="H116" s="154">
        <f t="shared" ref="H116:P116" si="90">IF(H$182=0,0,$D116*12)</f>
        <v>516</v>
      </c>
      <c r="I116" s="154">
        <f t="shared" si="90"/>
        <v>516</v>
      </c>
      <c r="J116" s="154">
        <f t="shared" si="90"/>
        <v>516</v>
      </c>
      <c r="K116" s="154">
        <f t="shared" si="90"/>
        <v>516</v>
      </c>
      <c r="L116" s="154">
        <f t="shared" si="90"/>
        <v>516</v>
      </c>
      <c r="M116" s="154">
        <f t="shared" si="90"/>
        <v>516</v>
      </c>
      <c r="N116" s="154">
        <f t="shared" si="90"/>
        <v>516</v>
      </c>
      <c r="O116" s="154">
        <f t="shared" si="90"/>
        <v>516</v>
      </c>
      <c r="P116" s="154">
        <f t="shared" si="90"/>
        <v>516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10</v>
      </c>
      <c r="E117" s="154">
        <f>IF(E$182=0,0,ROUND(($D117*12),0))</f>
        <v>0</v>
      </c>
      <c r="F117" s="154">
        <f t="shared" ref="F117:P117" si="91">IF(F$182=0,0,ROUND(($D117*12),0))</f>
        <v>0</v>
      </c>
      <c r="G117" s="154">
        <f t="shared" si="91"/>
        <v>120</v>
      </c>
      <c r="H117" s="154">
        <f t="shared" si="91"/>
        <v>120</v>
      </c>
      <c r="I117" s="154">
        <f t="shared" si="91"/>
        <v>120</v>
      </c>
      <c r="J117" s="154">
        <f t="shared" si="91"/>
        <v>120</v>
      </c>
      <c r="K117" s="154">
        <f t="shared" si="91"/>
        <v>120</v>
      </c>
      <c r="L117" s="154">
        <f t="shared" si="91"/>
        <v>120</v>
      </c>
      <c r="M117" s="154">
        <f t="shared" si="91"/>
        <v>120</v>
      </c>
      <c r="N117" s="154">
        <f t="shared" si="91"/>
        <v>120</v>
      </c>
      <c r="O117" s="154">
        <f t="shared" si="91"/>
        <v>120</v>
      </c>
      <c r="P117" s="154">
        <f t="shared" si="91"/>
        <v>120</v>
      </c>
    </row>
    <row r="118" spans="1:16" s="2" customFormat="1" collapsed="1" x14ac:dyDescent="0.25">
      <c r="A118" s="2">
        <v>400</v>
      </c>
      <c r="B118" s="18" t="s">
        <v>445</v>
      </c>
      <c r="E118" s="154">
        <f>SUM(E115:E117)</f>
        <v>0</v>
      </c>
      <c r="F118" s="154">
        <f t="shared" ref="F118:G118" si="92">SUM(F115:F117)</f>
        <v>0</v>
      </c>
      <c r="G118" s="154">
        <f t="shared" si="92"/>
        <v>636</v>
      </c>
      <c r="H118" s="154">
        <f t="shared" ref="H118:P118" si="93">SUM(H115:H117)</f>
        <v>636</v>
      </c>
      <c r="I118" s="154">
        <f t="shared" si="93"/>
        <v>636</v>
      </c>
      <c r="J118" s="154">
        <f t="shared" si="93"/>
        <v>636</v>
      </c>
      <c r="K118" s="154">
        <f t="shared" si="93"/>
        <v>636</v>
      </c>
      <c r="L118" s="154">
        <f t="shared" si="93"/>
        <v>636</v>
      </c>
      <c r="M118" s="154">
        <f t="shared" si="93"/>
        <v>636</v>
      </c>
      <c r="N118" s="154">
        <f t="shared" si="93"/>
        <v>636</v>
      </c>
      <c r="O118" s="154">
        <f t="shared" si="93"/>
        <v>636</v>
      </c>
      <c r="P118" s="154">
        <f t="shared" si="93"/>
        <v>636</v>
      </c>
    </row>
    <row r="119" spans="1:16" s="2" customFormat="1" x14ac:dyDescent="0.25">
      <c r="A119" s="2">
        <v>440</v>
      </c>
      <c r="B119" s="18" t="s">
        <v>464</v>
      </c>
      <c r="C119" s="2" t="s">
        <v>590</v>
      </c>
      <c r="D119" s="164"/>
      <c r="E119" s="154">
        <f>IF(E$182=0,0,E224)</f>
        <v>0</v>
      </c>
      <c r="F119" s="154">
        <f t="shared" ref="F119:P119" si="94">IF(F$182=0,0,F224)</f>
        <v>0</v>
      </c>
      <c r="G119" s="154">
        <f t="shared" si="94"/>
        <v>56700</v>
      </c>
      <c r="H119" s="154">
        <f t="shared" si="94"/>
        <v>58401</v>
      </c>
      <c r="I119" s="154">
        <f t="shared" si="94"/>
        <v>60153.030000000006</v>
      </c>
      <c r="J119" s="154">
        <f t="shared" si="94"/>
        <v>61957.620900000009</v>
      </c>
      <c r="K119" s="154">
        <f t="shared" si="94"/>
        <v>63816.349527000013</v>
      </c>
      <c r="L119" s="154">
        <f t="shared" si="94"/>
        <v>65730.840012810018</v>
      </c>
      <c r="M119" s="154">
        <f t="shared" si="94"/>
        <v>67702.765213194303</v>
      </c>
      <c r="N119" s="154">
        <f t="shared" si="94"/>
        <v>69733.848169590143</v>
      </c>
      <c r="O119" s="154">
        <f t="shared" si="94"/>
        <v>71825.86361467783</v>
      </c>
      <c r="P119" s="154">
        <f t="shared" si="94"/>
        <v>73980.639523118181</v>
      </c>
    </row>
    <row r="120" spans="1:16" s="2" customFormat="1" x14ac:dyDescent="0.25">
      <c r="A120" s="2">
        <v>440</v>
      </c>
      <c r="B120" s="18" t="s">
        <v>585</v>
      </c>
      <c r="C120" s="297" t="s">
        <v>589</v>
      </c>
      <c r="D120" s="85">
        <v>500</v>
      </c>
      <c r="E120" s="154">
        <f>IF(E$182=0,0,$D120)</f>
        <v>0</v>
      </c>
      <c r="F120" s="154">
        <f t="shared" ref="F120:P120" si="95">IF(F$182=0,0,$D120)</f>
        <v>0</v>
      </c>
      <c r="G120" s="154">
        <f t="shared" si="95"/>
        <v>500</v>
      </c>
      <c r="H120" s="154">
        <f t="shared" si="95"/>
        <v>500</v>
      </c>
      <c r="I120" s="154">
        <f t="shared" si="95"/>
        <v>500</v>
      </c>
      <c r="J120" s="154">
        <f t="shared" si="95"/>
        <v>500</v>
      </c>
      <c r="K120" s="154">
        <f t="shared" si="95"/>
        <v>500</v>
      </c>
      <c r="L120" s="154">
        <f t="shared" si="95"/>
        <v>500</v>
      </c>
      <c r="M120" s="154">
        <f t="shared" si="95"/>
        <v>500</v>
      </c>
      <c r="N120" s="154">
        <f t="shared" si="95"/>
        <v>500</v>
      </c>
      <c r="O120" s="154">
        <f t="shared" si="95"/>
        <v>500</v>
      </c>
      <c r="P120" s="154">
        <f t="shared" si="95"/>
        <v>500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735</v>
      </c>
      <c r="D121" s="85">
        <v>0</v>
      </c>
      <c r="E121" s="154">
        <f>IF(E$182=0,0,$D121*12)</f>
        <v>0</v>
      </c>
      <c r="F121" s="154">
        <f t="shared" ref="F121:P121" si="96">IF(F$182=0,0,$D121*12)</f>
        <v>0</v>
      </c>
      <c r="G121" s="154">
        <f t="shared" si="96"/>
        <v>0</v>
      </c>
      <c r="H121" s="154">
        <f t="shared" si="96"/>
        <v>0</v>
      </c>
      <c r="I121" s="154">
        <f t="shared" si="96"/>
        <v>0</v>
      </c>
      <c r="J121" s="154">
        <f t="shared" si="96"/>
        <v>0</v>
      </c>
      <c r="K121" s="154">
        <f t="shared" si="96"/>
        <v>0</v>
      </c>
      <c r="L121" s="154">
        <f t="shared" si="96"/>
        <v>0</v>
      </c>
      <c r="M121" s="154">
        <f t="shared" si="96"/>
        <v>0</v>
      </c>
      <c r="N121" s="154">
        <f t="shared" si="96"/>
        <v>0</v>
      </c>
      <c r="O121" s="154">
        <f t="shared" si="96"/>
        <v>0</v>
      </c>
      <c r="P121" s="154">
        <f t="shared" si="96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54">
        <f>IF(E$182=0,0,($D122*(1+E$11)*12))</f>
        <v>0</v>
      </c>
      <c r="F122" s="154">
        <f t="shared" ref="F122:P122" si="97">IF(F$182=0,0,($D122*(1+F$11)*12))</f>
        <v>0</v>
      </c>
      <c r="G122" s="154">
        <f t="shared" si="97"/>
        <v>624</v>
      </c>
      <c r="H122" s="154">
        <f t="shared" si="97"/>
        <v>636</v>
      </c>
      <c r="I122" s="154">
        <f t="shared" si="97"/>
        <v>648</v>
      </c>
      <c r="J122" s="154">
        <f t="shared" si="97"/>
        <v>660.00000000000011</v>
      </c>
      <c r="K122" s="154">
        <f t="shared" si="97"/>
        <v>672.00000000000011</v>
      </c>
      <c r="L122" s="154">
        <f t="shared" si="97"/>
        <v>684.00000000000011</v>
      </c>
      <c r="M122" s="154">
        <f t="shared" si="97"/>
        <v>695.99999999999989</v>
      </c>
      <c r="N122" s="154">
        <f t="shared" si="97"/>
        <v>708</v>
      </c>
      <c r="O122" s="154">
        <f t="shared" si="97"/>
        <v>720</v>
      </c>
      <c r="P122" s="154">
        <f t="shared" si="97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54">
        <f>IF(E$182=0,0,($D123*12))</f>
        <v>0</v>
      </c>
      <c r="F123" s="154">
        <f t="shared" ref="F123:P123" si="98">IF(F$182=0,0,($D123*12))</f>
        <v>0</v>
      </c>
      <c r="G123" s="154">
        <f t="shared" si="98"/>
        <v>0</v>
      </c>
      <c r="H123" s="154">
        <f t="shared" si="98"/>
        <v>0</v>
      </c>
      <c r="I123" s="154">
        <f t="shared" si="98"/>
        <v>0</v>
      </c>
      <c r="J123" s="154">
        <f t="shared" si="98"/>
        <v>0</v>
      </c>
      <c r="K123" s="154">
        <f t="shared" si="98"/>
        <v>0</v>
      </c>
      <c r="L123" s="154">
        <f t="shared" si="98"/>
        <v>0</v>
      </c>
      <c r="M123" s="154">
        <f t="shared" si="98"/>
        <v>0</v>
      </c>
      <c r="N123" s="154">
        <f t="shared" si="98"/>
        <v>0</v>
      </c>
      <c r="O123" s="154">
        <f t="shared" si="98"/>
        <v>0</v>
      </c>
      <c r="P123" s="154">
        <f t="shared" si="98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144</v>
      </c>
      <c r="E124" s="154">
        <f t="shared" ref="E124:P125" si="99">IF(E$182=0,0,($D124*(1+E$11)*12))</f>
        <v>0</v>
      </c>
      <c r="F124" s="154">
        <f t="shared" si="99"/>
        <v>0</v>
      </c>
      <c r="G124" s="154">
        <f t="shared" si="99"/>
        <v>1797.12</v>
      </c>
      <c r="H124" s="154">
        <f t="shared" si="99"/>
        <v>1831.6800000000003</v>
      </c>
      <c r="I124" s="154">
        <f t="shared" si="99"/>
        <v>1866.2400000000002</v>
      </c>
      <c r="J124" s="154">
        <f t="shared" si="99"/>
        <v>1900.8000000000002</v>
      </c>
      <c r="K124" s="154">
        <f t="shared" si="99"/>
        <v>1935.3600000000004</v>
      </c>
      <c r="L124" s="154">
        <f t="shared" si="99"/>
        <v>1969.9200000000003</v>
      </c>
      <c r="M124" s="154">
        <f t="shared" si="99"/>
        <v>2004.48</v>
      </c>
      <c r="N124" s="154">
        <f t="shared" si="99"/>
        <v>2039.04</v>
      </c>
      <c r="O124" s="154">
        <f t="shared" si="99"/>
        <v>2073.6</v>
      </c>
      <c r="P124" s="154">
        <f t="shared" si="99"/>
        <v>2108.16</v>
      </c>
    </row>
    <row r="125" spans="1:16" s="2" customFormat="1" hidden="1" outlineLevel="1" x14ac:dyDescent="0.25">
      <c r="A125" s="2">
        <v>6535</v>
      </c>
      <c r="B125" s="74" t="s">
        <v>456</v>
      </c>
      <c r="C125" s="301" t="s">
        <v>605</v>
      </c>
      <c r="D125" s="85">
        <v>0</v>
      </c>
      <c r="E125" s="11">
        <f t="shared" si="99"/>
        <v>0</v>
      </c>
      <c r="F125" s="11">
        <f t="shared" si="99"/>
        <v>0</v>
      </c>
      <c r="G125" s="11">
        <f t="shared" si="99"/>
        <v>0</v>
      </c>
      <c r="H125" s="11">
        <f t="shared" si="99"/>
        <v>0</v>
      </c>
      <c r="I125" s="11">
        <f t="shared" si="99"/>
        <v>0</v>
      </c>
      <c r="J125" s="11">
        <f t="shared" si="99"/>
        <v>0</v>
      </c>
      <c r="K125" s="11">
        <f t="shared" si="99"/>
        <v>0</v>
      </c>
      <c r="L125" s="11">
        <f t="shared" si="99"/>
        <v>0</v>
      </c>
      <c r="M125" s="11">
        <f t="shared" si="99"/>
        <v>0</v>
      </c>
      <c r="N125" s="11">
        <f t="shared" si="99"/>
        <v>0</v>
      </c>
      <c r="O125" s="11">
        <f t="shared" si="99"/>
        <v>0</v>
      </c>
      <c r="P125" s="11">
        <f t="shared" si="99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54">
        <f>SUM(E121:E125)</f>
        <v>0</v>
      </c>
      <c r="F126" s="154">
        <f t="shared" ref="F126:P126" si="100">SUM(F121:F125)</f>
        <v>0</v>
      </c>
      <c r="G126" s="154">
        <f t="shared" si="100"/>
        <v>2421.12</v>
      </c>
      <c r="H126" s="154">
        <f t="shared" si="100"/>
        <v>2467.6800000000003</v>
      </c>
      <c r="I126" s="154">
        <f t="shared" si="100"/>
        <v>2514.2400000000002</v>
      </c>
      <c r="J126" s="154">
        <f t="shared" si="100"/>
        <v>2560.8000000000002</v>
      </c>
      <c r="K126" s="154">
        <f t="shared" si="100"/>
        <v>2607.3600000000006</v>
      </c>
      <c r="L126" s="154">
        <f t="shared" si="100"/>
        <v>2653.9200000000005</v>
      </c>
      <c r="M126" s="154">
        <f t="shared" si="100"/>
        <v>2700.48</v>
      </c>
      <c r="N126" s="154">
        <f t="shared" si="100"/>
        <v>2747.04</v>
      </c>
      <c r="O126" s="154">
        <f t="shared" si="100"/>
        <v>2793.6</v>
      </c>
      <c r="P126" s="154">
        <f t="shared" si="100"/>
        <v>2840.16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0</v>
      </c>
      <c r="E127" s="154">
        <f t="shared" ref="E127:E132" si="101">ROUND(($D127*(1+E$11)*E$182),0)</f>
        <v>0</v>
      </c>
      <c r="F127" s="154">
        <f t="shared" ref="F127:P127" si="102">ROUND(($D127*(1+F$11)*F$182),0)</f>
        <v>0</v>
      </c>
      <c r="G127" s="154">
        <f t="shared" si="102"/>
        <v>0</v>
      </c>
      <c r="H127" s="154">
        <f t="shared" si="102"/>
        <v>0</v>
      </c>
      <c r="I127" s="154">
        <f t="shared" si="102"/>
        <v>0</v>
      </c>
      <c r="J127" s="154">
        <f t="shared" si="102"/>
        <v>0</v>
      </c>
      <c r="K127" s="154">
        <f t="shared" si="102"/>
        <v>0</v>
      </c>
      <c r="L127" s="154">
        <f t="shared" si="102"/>
        <v>0</v>
      </c>
      <c r="M127" s="154">
        <f t="shared" si="102"/>
        <v>0</v>
      </c>
      <c r="N127" s="154">
        <f t="shared" si="102"/>
        <v>0</v>
      </c>
      <c r="O127" s="154">
        <f t="shared" si="102"/>
        <v>0</v>
      </c>
      <c r="P127" s="154">
        <f t="shared" si="102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54">
        <f t="shared" si="101"/>
        <v>0</v>
      </c>
      <c r="F128" s="154">
        <f t="shared" ref="F128:P132" si="103">ROUND(($D128*(1+F$11)*F$182),0)</f>
        <v>0</v>
      </c>
      <c r="G128" s="154">
        <f t="shared" si="103"/>
        <v>0</v>
      </c>
      <c r="H128" s="154">
        <f t="shared" si="103"/>
        <v>0</v>
      </c>
      <c r="I128" s="154">
        <f t="shared" si="103"/>
        <v>0</v>
      </c>
      <c r="J128" s="154">
        <f t="shared" si="103"/>
        <v>0</v>
      </c>
      <c r="K128" s="154">
        <f t="shared" si="103"/>
        <v>0</v>
      </c>
      <c r="L128" s="154">
        <f t="shared" si="103"/>
        <v>0</v>
      </c>
      <c r="M128" s="154">
        <f t="shared" si="103"/>
        <v>0</v>
      </c>
      <c r="N128" s="154">
        <f t="shared" si="103"/>
        <v>0</v>
      </c>
      <c r="O128" s="154">
        <f t="shared" si="103"/>
        <v>0</v>
      </c>
      <c r="P128" s="154">
        <f t="shared" si="103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54">
        <f t="shared" si="101"/>
        <v>0</v>
      </c>
      <c r="F129" s="154">
        <f t="shared" si="103"/>
        <v>0</v>
      </c>
      <c r="G129" s="154">
        <f t="shared" si="103"/>
        <v>0</v>
      </c>
      <c r="H129" s="154">
        <f t="shared" si="103"/>
        <v>0</v>
      </c>
      <c r="I129" s="154">
        <f t="shared" si="103"/>
        <v>0</v>
      </c>
      <c r="J129" s="154">
        <f t="shared" si="103"/>
        <v>0</v>
      </c>
      <c r="K129" s="154">
        <f t="shared" si="103"/>
        <v>0</v>
      </c>
      <c r="L129" s="154">
        <f t="shared" si="103"/>
        <v>0</v>
      </c>
      <c r="M129" s="154">
        <f t="shared" si="103"/>
        <v>0</v>
      </c>
      <c r="N129" s="154">
        <f t="shared" si="103"/>
        <v>0</v>
      </c>
      <c r="O129" s="154">
        <f t="shared" si="103"/>
        <v>0</v>
      </c>
      <c r="P129" s="154">
        <f t="shared" si="103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54">
        <f t="shared" si="101"/>
        <v>0</v>
      </c>
      <c r="F130" s="154">
        <f t="shared" si="103"/>
        <v>0</v>
      </c>
      <c r="G130" s="154">
        <f t="shared" si="103"/>
        <v>0</v>
      </c>
      <c r="H130" s="154">
        <f t="shared" si="103"/>
        <v>0</v>
      </c>
      <c r="I130" s="154">
        <f t="shared" si="103"/>
        <v>0</v>
      </c>
      <c r="J130" s="154">
        <f t="shared" si="103"/>
        <v>0</v>
      </c>
      <c r="K130" s="154">
        <f t="shared" si="103"/>
        <v>0</v>
      </c>
      <c r="L130" s="154">
        <f t="shared" si="103"/>
        <v>0</v>
      </c>
      <c r="M130" s="154">
        <f t="shared" si="103"/>
        <v>0</v>
      </c>
      <c r="N130" s="154">
        <f t="shared" si="103"/>
        <v>0</v>
      </c>
      <c r="O130" s="154">
        <f t="shared" si="103"/>
        <v>0</v>
      </c>
      <c r="P130" s="154">
        <f t="shared" si="103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54">
        <f t="shared" si="101"/>
        <v>0</v>
      </c>
      <c r="F131" s="154">
        <f t="shared" si="103"/>
        <v>0</v>
      </c>
      <c r="G131" s="154">
        <f t="shared" si="103"/>
        <v>0</v>
      </c>
      <c r="H131" s="154">
        <f t="shared" si="103"/>
        <v>0</v>
      </c>
      <c r="I131" s="154">
        <f t="shared" si="103"/>
        <v>0</v>
      </c>
      <c r="J131" s="154">
        <f t="shared" si="103"/>
        <v>0</v>
      </c>
      <c r="K131" s="154">
        <f t="shared" si="103"/>
        <v>0</v>
      </c>
      <c r="L131" s="154">
        <f t="shared" si="103"/>
        <v>0</v>
      </c>
      <c r="M131" s="154">
        <f t="shared" si="103"/>
        <v>0</v>
      </c>
      <c r="N131" s="154">
        <f t="shared" si="103"/>
        <v>0</v>
      </c>
      <c r="O131" s="154">
        <f t="shared" si="103"/>
        <v>0</v>
      </c>
      <c r="P131" s="154">
        <f t="shared" si="103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101"/>
        <v>0</v>
      </c>
      <c r="F132" s="11">
        <f t="shared" si="103"/>
        <v>0</v>
      </c>
      <c r="G132" s="11">
        <f t="shared" si="103"/>
        <v>0</v>
      </c>
      <c r="H132" s="11">
        <f t="shared" si="103"/>
        <v>0</v>
      </c>
      <c r="I132" s="11">
        <f t="shared" si="103"/>
        <v>0</v>
      </c>
      <c r="J132" s="11">
        <f t="shared" si="103"/>
        <v>0</v>
      </c>
      <c r="K132" s="11">
        <f t="shared" si="103"/>
        <v>0</v>
      </c>
      <c r="L132" s="11">
        <f t="shared" si="103"/>
        <v>0</v>
      </c>
      <c r="M132" s="11">
        <f t="shared" si="103"/>
        <v>0</v>
      </c>
      <c r="N132" s="11">
        <f t="shared" si="103"/>
        <v>0</v>
      </c>
      <c r="O132" s="11">
        <f t="shared" si="103"/>
        <v>0</v>
      </c>
      <c r="P132" s="11">
        <f t="shared" si="103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54">
        <f>SUM(E127:E132)</f>
        <v>0</v>
      </c>
      <c r="F133" s="154">
        <f t="shared" ref="F133:P133" si="104">SUM(F127:F132)</f>
        <v>0</v>
      </c>
      <c r="G133" s="154">
        <f t="shared" si="104"/>
        <v>0</v>
      </c>
      <c r="H133" s="154">
        <f t="shared" si="104"/>
        <v>0</v>
      </c>
      <c r="I133" s="154">
        <f t="shared" si="104"/>
        <v>0</v>
      </c>
      <c r="J133" s="154">
        <f t="shared" si="104"/>
        <v>0</v>
      </c>
      <c r="K133" s="154">
        <f t="shared" si="104"/>
        <v>0</v>
      </c>
      <c r="L133" s="154">
        <f t="shared" si="104"/>
        <v>0</v>
      </c>
      <c r="M133" s="154">
        <f t="shared" si="104"/>
        <v>0</v>
      </c>
      <c r="N133" s="154">
        <f t="shared" si="104"/>
        <v>0</v>
      </c>
      <c r="O133" s="154">
        <f t="shared" si="104"/>
        <v>0</v>
      </c>
      <c r="P133" s="154">
        <f t="shared" si="104"/>
        <v>0</v>
      </c>
    </row>
    <row r="134" spans="1:16" s="2" customFormat="1" x14ac:dyDescent="0.25">
      <c r="A134" s="2">
        <v>540</v>
      </c>
      <c r="B134" s="18" t="s">
        <v>79</v>
      </c>
      <c r="C134" s="297" t="s">
        <v>734</v>
      </c>
      <c r="D134" s="164">
        <v>6000</v>
      </c>
      <c r="E134" s="154">
        <f>IF(E$182=0,0,$D134)</f>
        <v>0</v>
      </c>
      <c r="F134" s="154">
        <f t="shared" ref="F134:P134" si="105">IF(F$182=0,0,$D134)</f>
        <v>0</v>
      </c>
      <c r="G134" s="154">
        <f t="shared" si="105"/>
        <v>6000</v>
      </c>
      <c r="H134" s="154">
        <f t="shared" si="105"/>
        <v>6000</v>
      </c>
      <c r="I134" s="154">
        <f t="shared" si="105"/>
        <v>6000</v>
      </c>
      <c r="J134" s="154">
        <f t="shared" si="105"/>
        <v>6000</v>
      </c>
      <c r="K134" s="154">
        <f t="shared" si="105"/>
        <v>6000</v>
      </c>
      <c r="L134" s="154">
        <f t="shared" si="105"/>
        <v>6000</v>
      </c>
      <c r="M134" s="154">
        <f t="shared" si="105"/>
        <v>6000</v>
      </c>
      <c r="N134" s="154">
        <f t="shared" si="105"/>
        <v>6000</v>
      </c>
      <c r="O134" s="154">
        <f t="shared" si="105"/>
        <v>6000</v>
      </c>
      <c r="P134" s="154">
        <f t="shared" si="105"/>
        <v>6000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25</v>
      </c>
      <c r="E135" s="154">
        <f t="shared" ref="E135:P137" si="106">IF(E$182=0,0,ROUND(($D135*(1+E$11))*E$182,0))</f>
        <v>0</v>
      </c>
      <c r="F135" s="154">
        <f t="shared" si="106"/>
        <v>0</v>
      </c>
      <c r="G135" s="154">
        <f t="shared" si="106"/>
        <v>2340</v>
      </c>
      <c r="H135" s="154">
        <f t="shared" si="106"/>
        <v>3445</v>
      </c>
      <c r="I135" s="154">
        <f t="shared" si="106"/>
        <v>4050</v>
      </c>
      <c r="J135" s="154">
        <f t="shared" si="106"/>
        <v>4345</v>
      </c>
      <c r="K135" s="154">
        <f t="shared" si="106"/>
        <v>4648</v>
      </c>
      <c r="L135" s="154">
        <f t="shared" si="106"/>
        <v>4959</v>
      </c>
      <c r="M135" s="154">
        <f t="shared" si="106"/>
        <v>5307</v>
      </c>
      <c r="N135" s="154">
        <f t="shared" si="106"/>
        <v>5664</v>
      </c>
      <c r="O135" s="154">
        <f t="shared" si="106"/>
        <v>6060</v>
      </c>
      <c r="P135" s="154">
        <f t="shared" si="106"/>
        <v>6466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746</v>
      </c>
      <c r="D136" s="85">
        <v>875</v>
      </c>
      <c r="E136" s="154">
        <f>IF(E$182=0,0,ROUND(($D136*(1+E$11))*E$182,0))</f>
        <v>0</v>
      </c>
      <c r="F136" s="154">
        <f t="shared" si="106"/>
        <v>0</v>
      </c>
      <c r="G136" s="154">
        <f t="shared" si="106"/>
        <v>81900</v>
      </c>
      <c r="H136" s="154">
        <f t="shared" si="106"/>
        <v>120575</v>
      </c>
      <c r="I136" s="154">
        <f t="shared" si="106"/>
        <v>141750</v>
      </c>
      <c r="J136" s="154">
        <f t="shared" si="106"/>
        <v>152075</v>
      </c>
      <c r="K136" s="154">
        <f t="shared" si="106"/>
        <v>162680</v>
      </c>
      <c r="L136" s="154">
        <f t="shared" si="106"/>
        <v>173565</v>
      </c>
      <c r="M136" s="154">
        <f t="shared" si="106"/>
        <v>185745</v>
      </c>
      <c r="N136" s="154">
        <f t="shared" si="106"/>
        <v>198240</v>
      </c>
      <c r="O136" s="154">
        <f t="shared" si="106"/>
        <v>212100</v>
      </c>
      <c r="P136" s="154">
        <f t="shared" si="106"/>
        <v>226310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747</v>
      </c>
      <c r="D137" s="85">
        <v>1175</v>
      </c>
      <c r="E137" s="11">
        <f>IF(E$182=0,0,ROUND(($D137*(1+E$11))*E$182,0))</f>
        <v>0</v>
      </c>
      <c r="F137" s="11">
        <f t="shared" si="106"/>
        <v>0</v>
      </c>
      <c r="G137" s="11">
        <f t="shared" si="106"/>
        <v>109980</v>
      </c>
      <c r="H137" s="11">
        <f t="shared" si="106"/>
        <v>161915</v>
      </c>
      <c r="I137" s="11">
        <f t="shared" si="106"/>
        <v>190350</v>
      </c>
      <c r="J137" s="11">
        <f t="shared" si="106"/>
        <v>204215</v>
      </c>
      <c r="K137" s="11">
        <f t="shared" si="106"/>
        <v>218456</v>
      </c>
      <c r="L137" s="11">
        <f t="shared" si="106"/>
        <v>233073</v>
      </c>
      <c r="M137" s="11">
        <f t="shared" si="106"/>
        <v>249429</v>
      </c>
      <c r="N137" s="11">
        <f t="shared" si="106"/>
        <v>266208</v>
      </c>
      <c r="O137" s="11">
        <f t="shared" si="106"/>
        <v>284820</v>
      </c>
      <c r="P137" s="11">
        <f t="shared" si="106"/>
        <v>303902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54">
        <f>SUM(E135:E137)</f>
        <v>0</v>
      </c>
      <c r="F138" s="154">
        <f t="shared" ref="F138:P138" si="107">SUM(F135:F137)</f>
        <v>0</v>
      </c>
      <c r="G138" s="154">
        <f t="shared" si="107"/>
        <v>194220</v>
      </c>
      <c r="H138" s="154">
        <f t="shared" si="107"/>
        <v>285935</v>
      </c>
      <c r="I138" s="154">
        <f t="shared" si="107"/>
        <v>336150</v>
      </c>
      <c r="J138" s="154">
        <f t="shared" si="107"/>
        <v>360635</v>
      </c>
      <c r="K138" s="154">
        <f t="shared" si="107"/>
        <v>385784</v>
      </c>
      <c r="L138" s="154">
        <f t="shared" si="107"/>
        <v>411597</v>
      </c>
      <c r="M138" s="154">
        <f t="shared" si="107"/>
        <v>440481</v>
      </c>
      <c r="N138" s="154">
        <f t="shared" si="107"/>
        <v>470112</v>
      </c>
      <c r="O138" s="154">
        <f t="shared" si="107"/>
        <v>502980</v>
      </c>
      <c r="P138" s="154">
        <f t="shared" si="107"/>
        <v>536678</v>
      </c>
    </row>
    <row r="139" spans="1:16" s="2" customFormat="1" x14ac:dyDescent="0.25">
      <c r="A139" s="2">
        <v>580</v>
      </c>
      <c r="B139" s="18" t="s">
        <v>289</v>
      </c>
      <c r="C139" s="303" t="s">
        <v>627</v>
      </c>
      <c r="D139" s="85">
        <v>1500</v>
      </c>
      <c r="E139" s="154">
        <f>IF(E$182=0,0,ROUND(($D139*(1+E$11))*(E$205-E$202),0))</f>
        <v>0</v>
      </c>
      <c r="F139" s="154">
        <f t="shared" ref="F139:P139" si="108">IF(F$182=0,0,ROUND(($D139*(1+F$11))*(F$205-F$202),0))</f>
        <v>0</v>
      </c>
      <c r="G139" s="154">
        <f t="shared" si="108"/>
        <v>1560</v>
      </c>
      <c r="H139" s="154">
        <f t="shared" si="108"/>
        <v>3180</v>
      </c>
      <c r="I139" s="154">
        <f t="shared" si="108"/>
        <v>3240</v>
      </c>
      <c r="J139" s="154">
        <f t="shared" si="108"/>
        <v>3300</v>
      </c>
      <c r="K139" s="154">
        <f t="shared" si="108"/>
        <v>3360</v>
      </c>
      <c r="L139" s="154">
        <f t="shared" si="108"/>
        <v>3420</v>
      </c>
      <c r="M139" s="154">
        <f t="shared" si="108"/>
        <v>3480</v>
      </c>
      <c r="N139" s="154">
        <f t="shared" si="108"/>
        <v>3540</v>
      </c>
      <c r="O139" s="154">
        <f t="shared" si="108"/>
        <v>3600</v>
      </c>
      <c r="P139" s="154">
        <f t="shared" si="108"/>
        <v>3660</v>
      </c>
    </row>
    <row r="140" spans="1:16" s="2" customFormat="1" x14ac:dyDescent="0.25">
      <c r="A140" s="2">
        <v>610</v>
      </c>
      <c r="B140" s="18" t="s">
        <v>465</v>
      </c>
      <c r="C140" s="303" t="s">
        <v>625</v>
      </c>
      <c r="D140" s="85">
        <v>75</v>
      </c>
      <c r="E140" s="154">
        <f>IF(E$182=0,0,ROUND(($D140*(1+E$11))*(E$205-E$202)*12,0))</f>
        <v>0</v>
      </c>
      <c r="F140" s="154">
        <f t="shared" ref="F140:P140" si="109">IF(F$182=0,0,ROUND(($D140*(1+F$11))*(F$205-F$202)*12,0))</f>
        <v>0</v>
      </c>
      <c r="G140" s="154">
        <f t="shared" si="109"/>
        <v>936</v>
      </c>
      <c r="H140" s="154">
        <f t="shared" si="109"/>
        <v>1908</v>
      </c>
      <c r="I140" s="154">
        <f t="shared" si="109"/>
        <v>1944</v>
      </c>
      <c r="J140" s="154">
        <f t="shared" si="109"/>
        <v>1980</v>
      </c>
      <c r="K140" s="154">
        <f t="shared" si="109"/>
        <v>2016</v>
      </c>
      <c r="L140" s="154">
        <f t="shared" si="109"/>
        <v>2052</v>
      </c>
      <c r="M140" s="154">
        <f t="shared" si="109"/>
        <v>2088</v>
      </c>
      <c r="N140" s="154">
        <f t="shared" si="109"/>
        <v>2124</v>
      </c>
      <c r="O140" s="154">
        <f t="shared" si="109"/>
        <v>2160</v>
      </c>
      <c r="P140" s="154">
        <f t="shared" si="109"/>
        <v>2196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150</v>
      </c>
      <c r="E141" s="154">
        <f t="shared" ref="E141:P141" si="110">IF(E$182=0,0,ROUND($D141*12*(1+E$11),0))</f>
        <v>0</v>
      </c>
      <c r="F141" s="154">
        <f t="shared" si="110"/>
        <v>0</v>
      </c>
      <c r="G141" s="154">
        <f t="shared" si="110"/>
        <v>1872</v>
      </c>
      <c r="H141" s="154">
        <f t="shared" si="110"/>
        <v>1908</v>
      </c>
      <c r="I141" s="154">
        <f t="shared" si="110"/>
        <v>1944</v>
      </c>
      <c r="J141" s="154">
        <f t="shared" si="110"/>
        <v>1980</v>
      </c>
      <c r="K141" s="154">
        <f t="shared" si="110"/>
        <v>2016</v>
      </c>
      <c r="L141" s="154">
        <f t="shared" si="110"/>
        <v>2052</v>
      </c>
      <c r="M141" s="154">
        <f t="shared" si="110"/>
        <v>2088</v>
      </c>
      <c r="N141" s="154">
        <f t="shared" si="110"/>
        <v>2124</v>
      </c>
      <c r="O141" s="154">
        <f t="shared" si="110"/>
        <v>2160</v>
      </c>
      <c r="P141" s="154">
        <f t="shared" si="110"/>
        <v>2196</v>
      </c>
    </row>
    <row r="142" spans="1:16" s="2" customFormat="1" x14ac:dyDescent="0.25">
      <c r="A142" s="2">
        <v>641</v>
      </c>
      <c r="B142" s="18" t="s">
        <v>53</v>
      </c>
      <c r="C142" s="18" t="s">
        <v>586</v>
      </c>
      <c r="D142" s="85">
        <v>50</v>
      </c>
      <c r="E142" s="154">
        <f t="shared" ref="E142:P144" si="111">IF(E$182=0,0,ROUND(($D142*(1+E$11))*E$182,0))</f>
        <v>0</v>
      </c>
      <c r="F142" s="154">
        <f t="shared" si="111"/>
        <v>0</v>
      </c>
      <c r="G142" s="154">
        <f t="shared" si="111"/>
        <v>4680</v>
      </c>
      <c r="H142" s="154">
        <f t="shared" si="111"/>
        <v>6890</v>
      </c>
      <c r="I142" s="154">
        <f t="shared" si="111"/>
        <v>8100</v>
      </c>
      <c r="J142" s="154">
        <f t="shared" si="111"/>
        <v>8690</v>
      </c>
      <c r="K142" s="154">
        <f t="shared" si="111"/>
        <v>9296</v>
      </c>
      <c r="L142" s="154">
        <f t="shared" si="111"/>
        <v>9918</v>
      </c>
      <c r="M142" s="154">
        <f t="shared" si="111"/>
        <v>10614</v>
      </c>
      <c r="N142" s="154">
        <f t="shared" si="111"/>
        <v>11328</v>
      </c>
      <c r="O142" s="154">
        <f t="shared" si="111"/>
        <v>12120</v>
      </c>
      <c r="P142" s="154">
        <f t="shared" si="111"/>
        <v>12932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11"/>
        <v>0</v>
      </c>
      <c r="F143" s="154">
        <f t="shared" si="111"/>
        <v>0</v>
      </c>
      <c r="G143" s="154">
        <f t="shared" si="111"/>
        <v>2808</v>
      </c>
      <c r="H143" s="154">
        <f t="shared" si="111"/>
        <v>4134</v>
      </c>
      <c r="I143" s="154">
        <f t="shared" si="111"/>
        <v>4860</v>
      </c>
      <c r="J143" s="154">
        <f t="shared" si="111"/>
        <v>5214</v>
      </c>
      <c r="K143" s="154">
        <f t="shared" si="111"/>
        <v>5578</v>
      </c>
      <c r="L143" s="154">
        <f t="shared" si="111"/>
        <v>5951</v>
      </c>
      <c r="M143" s="154">
        <f t="shared" si="111"/>
        <v>6368</v>
      </c>
      <c r="N143" s="154">
        <f t="shared" si="111"/>
        <v>6797</v>
      </c>
      <c r="O143" s="154">
        <f t="shared" si="111"/>
        <v>7272</v>
      </c>
      <c r="P143" s="154">
        <f t="shared" si="111"/>
        <v>7759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11"/>
        <v>0</v>
      </c>
      <c r="F144" s="11">
        <f t="shared" si="111"/>
        <v>0</v>
      </c>
      <c r="G144" s="11">
        <f t="shared" si="111"/>
        <v>3744</v>
      </c>
      <c r="H144" s="11">
        <f t="shared" si="111"/>
        <v>5512</v>
      </c>
      <c r="I144" s="11">
        <f t="shared" si="111"/>
        <v>6480</v>
      </c>
      <c r="J144" s="11">
        <f t="shared" si="111"/>
        <v>6952</v>
      </c>
      <c r="K144" s="11">
        <f t="shared" si="111"/>
        <v>7437</v>
      </c>
      <c r="L144" s="11">
        <f t="shared" si="111"/>
        <v>7934</v>
      </c>
      <c r="M144" s="11">
        <f t="shared" si="111"/>
        <v>8491</v>
      </c>
      <c r="N144" s="11">
        <f t="shared" si="111"/>
        <v>9062</v>
      </c>
      <c r="O144" s="11">
        <f t="shared" si="111"/>
        <v>9696</v>
      </c>
      <c r="P144" s="11">
        <f t="shared" si="111"/>
        <v>10346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54">
        <f>SUM(E142:E144)</f>
        <v>0</v>
      </c>
      <c r="F145" s="154">
        <f t="shared" ref="F145:P145" si="112">SUM(F142:F144)</f>
        <v>0</v>
      </c>
      <c r="G145" s="154">
        <f t="shared" si="112"/>
        <v>11232</v>
      </c>
      <c r="H145" s="154">
        <f t="shared" si="112"/>
        <v>16536</v>
      </c>
      <c r="I145" s="154">
        <f t="shared" si="112"/>
        <v>19440</v>
      </c>
      <c r="J145" s="154">
        <f t="shared" si="112"/>
        <v>20856</v>
      </c>
      <c r="K145" s="154">
        <f t="shared" si="112"/>
        <v>22311</v>
      </c>
      <c r="L145" s="154">
        <f t="shared" si="112"/>
        <v>23803</v>
      </c>
      <c r="M145" s="154">
        <f t="shared" si="112"/>
        <v>25473</v>
      </c>
      <c r="N145" s="154">
        <f t="shared" si="112"/>
        <v>27187</v>
      </c>
      <c r="O145" s="154">
        <f t="shared" si="112"/>
        <v>29088</v>
      </c>
      <c r="P145" s="154">
        <f t="shared" si="112"/>
        <v>31037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54">
        <f t="shared" ref="E146:P147" si="113">IF(E$182=0,0,ROUND(($D146*E$182)*(1+E$11),0))</f>
        <v>0</v>
      </c>
      <c r="F146" s="154">
        <f t="shared" si="113"/>
        <v>0</v>
      </c>
      <c r="G146" s="154">
        <f t="shared" si="113"/>
        <v>9360</v>
      </c>
      <c r="H146" s="154">
        <f t="shared" si="113"/>
        <v>13780</v>
      </c>
      <c r="I146" s="154">
        <f t="shared" si="113"/>
        <v>16200</v>
      </c>
      <c r="J146" s="154">
        <f t="shared" si="113"/>
        <v>17380</v>
      </c>
      <c r="K146" s="154">
        <f t="shared" si="113"/>
        <v>18592</v>
      </c>
      <c r="L146" s="154">
        <f t="shared" si="113"/>
        <v>19836</v>
      </c>
      <c r="M146" s="154">
        <f t="shared" si="113"/>
        <v>21228</v>
      </c>
      <c r="N146" s="154">
        <f t="shared" si="113"/>
        <v>22656</v>
      </c>
      <c r="O146" s="154">
        <f t="shared" si="113"/>
        <v>24240</v>
      </c>
      <c r="P146" s="154">
        <f t="shared" si="113"/>
        <v>25864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3"/>
        <v>0</v>
      </c>
      <c r="F147" s="11">
        <f t="shared" si="113"/>
        <v>0</v>
      </c>
      <c r="G147" s="11">
        <f t="shared" si="113"/>
        <v>10764</v>
      </c>
      <c r="H147" s="11">
        <f t="shared" si="113"/>
        <v>15847</v>
      </c>
      <c r="I147" s="11">
        <f t="shared" si="113"/>
        <v>18630</v>
      </c>
      <c r="J147" s="11">
        <f t="shared" si="113"/>
        <v>19987</v>
      </c>
      <c r="K147" s="11">
        <f t="shared" si="113"/>
        <v>21381</v>
      </c>
      <c r="L147" s="11">
        <f t="shared" si="113"/>
        <v>22811</v>
      </c>
      <c r="M147" s="11">
        <f t="shared" si="113"/>
        <v>24412</v>
      </c>
      <c r="N147" s="11">
        <f t="shared" si="113"/>
        <v>26054</v>
      </c>
      <c r="O147" s="11">
        <f t="shared" si="113"/>
        <v>27876</v>
      </c>
      <c r="P147" s="11">
        <f t="shared" si="113"/>
        <v>29744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54">
        <f>SUM(E146:E147)</f>
        <v>0</v>
      </c>
      <c r="F148" s="154">
        <f t="shared" ref="F148:P148" si="114">SUM(F146:F147)</f>
        <v>0</v>
      </c>
      <c r="G148" s="154">
        <f t="shared" si="114"/>
        <v>20124</v>
      </c>
      <c r="H148" s="154">
        <f t="shared" si="114"/>
        <v>29627</v>
      </c>
      <c r="I148" s="154">
        <f t="shared" si="114"/>
        <v>34830</v>
      </c>
      <c r="J148" s="154">
        <f t="shared" si="114"/>
        <v>37367</v>
      </c>
      <c r="K148" s="154">
        <f t="shared" si="114"/>
        <v>39973</v>
      </c>
      <c r="L148" s="154">
        <f t="shared" si="114"/>
        <v>42647</v>
      </c>
      <c r="M148" s="154">
        <f t="shared" si="114"/>
        <v>45640</v>
      </c>
      <c r="N148" s="154">
        <f t="shared" si="114"/>
        <v>48710</v>
      </c>
      <c r="O148" s="154">
        <f t="shared" si="114"/>
        <v>52116</v>
      </c>
      <c r="P148" s="154">
        <f t="shared" si="114"/>
        <v>55608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54">
        <f>IF(E$182=0,0,($D149*12))</f>
        <v>0</v>
      </c>
      <c r="F149" s="154">
        <f t="shared" ref="F149:P151" si="115">IF(F$182=0,0,($D149*12))</f>
        <v>0</v>
      </c>
      <c r="G149" s="154">
        <f t="shared" si="115"/>
        <v>0</v>
      </c>
      <c r="H149" s="154">
        <f t="shared" si="115"/>
        <v>0</v>
      </c>
      <c r="I149" s="154">
        <f t="shared" si="115"/>
        <v>0</v>
      </c>
      <c r="J149" s="154">
        <f t="shared" si="115"/>
        <v>0</v>
      </c>
      <c r="K149" s="154">
        <f t="shared" si="115"/>
        <v>0</v>
      </c>
      <c r="L149" s="154">
        <f t="shared" si="115"/>
        <v>0</v>
      </c>
      <c r="M149" s="154">
        <f t="shared" si="115"/>
        <v>0</v>
      </c>
      <c r="N149" s="154">
        <f t="shared" si="115"/>
        <v>0</v>
      </c>
      <c r="O149" s="154">
        <f t="shared" si="115"/>
        <v>0</v>
      </c>
      <c r="P149" s="154">
        <f t="shared" si="115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54">
        <f>IF(E$182=0,0,($D150*12))</f>
        <v>0</v>
      </c>
      <c r="F150" s="154">
        <f t="shared" si="115"/>
        <v>0</v>
      </c>
      <c r="G150" s="154">
        <f t="shared" si="115"/>
        <v>0</v>
      </c>
      <c r="H150" s="154">
        <f t="shared" si="115"/>
        <v>0</v>
      </c>
      <c r="I150" s="154">
        <f t="shared" si="115"/>
        <v>0</v>
      </c>
      <c r="J150" s="154">
        <f t="shared" si="115"/>
        <v>0</v>
      </c>
      <c r="K150" s="154">
        <f t="shared" si="115"/>
        <v>0</v>
      </c>
      <c r="L150" s="154">
        <f t="shared" si="115"/>
        <v>0</v>
      </c>
      <c r="M150" s="154">
        <f t="shared" si="115"/>
        <v>0</v>
      </c>
      <c r="N150" s="154">
        <f t="shared" si="115"/>
        <v>0</v>
      </c>
      <c r="O150" s="154">
        <f t="shared" si="115"/>
        <v>0</v>
      </c>
      <c r="P150" s="154">
        <f t="shared" si="115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54">
        <f>IF(E$182=0,0,($D151*12))</f>
        <v>0</v>
      </c>
      <c r="F151" s="154">
        <f t="shared" si="115"/>
        <v>0</v>
      </c>
      <c r="G151" s="154">
        <f t="shared" si="115"/>
        <v>0</v>
      </c>
      <c r="H151" s="154">
        <f t="shared" si="115"/>
        <v>0</v>
      </c>
      <c r="I151" s="154">
        <f t="shared" si="115"/>
        <v>0</v>
      </c>
      <c r="J151" s="154">
        <f t="shared" si="115"/>
        <v>0</v>
      </c>
      <c r="K151" s="154">
        <f t="shared" si="115"/>
        <v>0</v>
      </c>
      <c r="L151" s="154">
        <f t="shared" si="115"/>
        <v>0</v>
      </c>
      <c r="M151" s="154">
        <f t="shared" si="115"/>
        <v>0</v>
      </c>
      <c r="N151" s="154">
        <f t="shared" si="115"/>
        <v>0</v>
      </c>
      <c r="O151" s="154">
        <f t="shared" si="115"/>
        <v>0</v>
      </c>
      <c r="P151" s="154">
        <f t="shared" si="115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54">
        <f t="shared" ref="E152:E159" si="116">IF(E$182=0,0,$D152)</f>
        <v>0</v>
      </c>
      <c r="F152" s="154">
        <f t="shared" ref="F152:P159" si="117">IF(F$182=0,0,$D152)</f>
        <v>0</v>
      </c>
      <c r="G152" s="154">
        <f t="shared" si="117"/>
        <v>0</v>
      </c>
      <c r="H152" s="154">
        <f t="shared" si="117"/>
        <v>0</v>
      </c>
      <c r="I152" s="154">
        <f t="shared" si="117"/>
        <v>0</v>
      </c>
      <c r="J152" s="154">
        <f t="shared" si="117"/>
        <v>0</v>
      </c>
      <c r="K152" s="154">
        <f t="shared" si="117"/>
        <v>0</v>
      </c>
      <c r="L152" s="154">
        <f t="shared" si="117"/>
        <v>0</v>
      </c>
      <c r="M152" s="154">
        <f t="shared" si="117"/>
        <v>0</v>
      </c>
      <c r="N152" s="154">
        <f t="shared" si="117"/>
        <v>0</v>
      </c>
      <c r="O152" s="154">
        <f t="shared" si="117"/>
        <v>0</v>
      </c>
      <c r="P152" s="154">
        <f t="shared" si="117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54">
        <f t="shared" si="116"/>
        <v>0</v>
      </c>
      <c r="F153" s="154">
        <f t="shared" si="117"/>
        <v>0</v>
      </c>
      <c r="G153" s="154">
        <f t="shared" si="117"/>
        <v>0</v>
      </c>
      <c r="H153" s="154">
        <f t="shared" si="117"/>
        <v>0</v>
      </c>
      <c r="I153" s="154">
        <f t="shared" si="117"/>
        <v>0</v>
      </c>
      <c r="J153" s="154">
        <f t="shared" si="117"/>
        <v>0</v>
      </c>
      <c r="K153" s="154">
        <f t="shared" si="117"/>
        <v>0</v>
      </c>
      <c r="L153" s="154">
        <f t="shared" si="117"/>
        <v>0</v>
      </c>
      <c r="M153" s="154">
        <f t="shared" si="117"/>
        <v>0</v>
      </c>
      <c r="N153" s="154">
        <f t="shared" si="117"/>
        <v>0</v>
      </c>
      <c r="O153" s="154">
        <f t="shared" si="117"/>
        <v>0</v>
      </c>
      <c r="P153" s="154">
        <f t="shared" si="117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54">
        <f t="shared" si="116"/>
        <v>0</v>
      </c>
      <c r="F154" s="154">
        <f t="shared" si="117"/>
        <v>0</v>
      </c>
      <c r="G154" s="154">
        <f t="shared" si="117"/>
        <v>0</v>
      </c>
      <c r="H154" s="154">
        <f t="shared" si="117"/>
        <v>0</v>
      </c>
      <c r="I154" s="154">
        <f t="shared" si="117"/>
        <v>0</v>
      </c>
      <c r="J154" s="154">
        <f t="shared" si="117"/>
        <v>0</v>
      </c>
      <c r="K154" s="154">
        <f t="shared" si="117"/>
        <v>0</v>
      </c>
      <c r="L154" s="154">
        <f t="shared" si="117"/>
        <v>0</v>
      </c>
      <c r="M154" s="154">
        <f t="shared" si="117"/>
        <v>0</v>
      </c>
      <c r="N154" s="154">
        <f t="shared" si="117"/>
        <v>0</v>
      </c>
      <c r="O154" s="154">
        <f t="shared" si="117"/>
        <v>0</v>
      </c>
      <c r="P154" s="154">
        <f t="shared" si="117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54">
        <f t="shared" si="116"/>
        <v>0</v>
      </c>
      <c r="F155" s="154">
        <f t="shared" si="117"/>
        <v>0</v>
      </c>
      <c r="G155" s="154">
        <f t="shared" si="117"/>
        <v>0</v>
      </c>
      <c r="H155" s="154">
        <f t="shared" si="117"/>
        <v>0</v>
      </c>
      <c r="I155" s="154">
        <f t="shared" si="117"/>
        <v>0</v>
      </c>
      <c r="J155" s="154">
        <f t="shared" si="117"/>
        <v>0</v>
      </c>
      <c r="K155" s="154">
        <f t="shared" si="117"/>
        <v>0</v>
      </c>
      <c r="L155" s="154">
        <f t="shared" si="117"/>
        <v>0</v>
      </c>
      <c r="M155" s="154">
        <f t="shared" si="117"/>
        <v>0</v>
      </c>
      <c r="N155" s="154">
        <f t="shared" si="117"/>
        <v>0</v>
      </c>
      <c r="O155" s="154">
        <f t="shared" si="117"/>
        <v>0</v>
      </c>
      <c r="P155" s="154">
        <f t="shared" si="117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54">
        <f t="shared" si="116"/>
        <v>0</v>
      </c>
      <c r="F156" s="154">
        <f t="shared" si="117"/>
        <v>0</v>
      </c>
      <c r="G156" s="154">
        <f t="shared" si="117"/>
        <v>0</v>
      </c>
      <c r="H156" s="154">
        <f t="shared" si="117"/>
        <v>0</v>
      </c>
      <c r="I156" s="154">
        <f t="shared" si="117"/>
        <v>0</v>
      </c>
      <c r="J156" s="154">
        <f t="shared" si="117"/>
        <v>0</v>
      </c>
      <c r="K156" s="154">
        <f t="shared" si="117"/>
        <v>0</v>
      </c>
      <c r="L156" s="154">
        <f t="shared" si="117"/>
        <v>0</v>
      </c>
      <c r="M156" s="154">
        <f t="shared" si="117"/>
        <v>0</v>
      </c>
      <c r="N156" s="154">
        <f t="shared" si="117"/>
        <v>0</v>
      </c>
      <c r="O156" s="154">
        <f t="shared" si="117"/>
        <v>0</v>
      </c>
      <c r="P156" s="154">
        <f t="shared" si="117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604</v>
      </c>
      <c r="D157" s="85">
        <v>0</v>
      </c>
      <c r="E157" s="154">
        <f t="shared" si="116"/>
        <v>0</v>
      </c>
      <c r="F157" s="154">
        <f t="shared" si="117"/>
        <v>0</v>
      </c>
      <c r="G157" s="154">
        <f t="shared" si="117"/>
        <v>0</v>
      </c>
      <c r="H157" s="154">
        <f t="shared" si="117"/>
        <v>0</v>
      </c>
      <c r="I157" s="154">
        <f t="shared" si="117"/>
        <v>0</v>
      </c>
      <c r="J157" s="154">
        <f t="shared" si="117"/>
        <v>0</v>
      </c>
      <c r="K157" s="154">
        <f t="shared" si="117"/>
        <v>0</v>
      </c>
      <c r="L157" s="154">
        <f t="shared" si="117"/>
        <v>0</v>
      </c>
      <c r="M157" s="154">
        <f t="shared" si="117"/>
        <v>0</v>
      </c>
      <c r="N157" s="154">
        <f t="shared" si="117"/>
        <v>0</v>
      </c>
      <c r="O157" s="154">
        <f t="shared" si="117"/>
        <v>0</v>
      </c>
      <c r="P157" s="154">
        <f t="shared" si="117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604</v>
      </c>
      <c r="D158" s="85">
        <v>0</v>
      </c>
      <c r="E158" s="154">
        <f t="shared" si="116"/>
        <v>0</v>
      </c>
      <c r="F158" s="154">
        <f t="shared" si="117"/>
        <v>0</v>
      </c>
      <c r="G158" s="154">
        <f t="shared" si="117"/>
        <v>0</v>
      </c>
      <c r="H158" s="154">
        <f t="shared" si="117"/>
        <v>0</v>
      </c>
      <c r="I158" s="154">
        <f t="shared" si="117"/>
        <v>0</v>
      </c>
      <c r="J158" s="154">
        <f t="shared" si="117"/>
        <v>0</v>
      </c>
      <c r="K158" s="154">
        <f t="shared" si="117"/>
        <v>0</v>
      </c>
      <c r="L158" s="154">
        <f t="shared" si="117"/>
        <v>0</v>
      </c>
      <c r="M158" s="154">
        <f t="shared" si="117"/>
        <v>0</v>
      </c>
      <c r="N158" s="154">
        <f t="shared" si="117"/>
        <v>0</v>
      </c>
      <c r="O158" s="154">
        <f t="shared" si="117"/>
        <v>0</v>
      </c>
      <c r="P158" s="154">
        <f t="shared" si="117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11">
        <f t="shared" si="116"/>
        <v>0</v>
      </c>
      <c r="F159" s="11">
        <f t="shared" si="117"/>
        <v>0</v>
      </c>
      <c r="G159" s="11">
        <f t="shared" si="117"/>
        <v>0</v>
      </c>
      <c r="H159" s="11">
        <f t="shared" si="117"/>
        <v>0</v>
      </c>
      <c r="I159" s="11">
        <f t="shared" si="117"/>
        <v>0</v>
      </c>
      <c r="J159" s="11">
        <f t="shared" si="117"/>
        <v>0</v>
      </c>
      <c r="K159" s="11">
        <f t="shared" si="117"/>
        <v>0</v>
      </c>
      <c r="L159" s="11">
        <f t="shared" si="117"/>
        <v>0</v>
      </c>
      <c r="M159" s="11">
        <f t="shared" si="117"/>
        <v>0</v>
      </c>
      <c r="N159" s="11">
        <f t="shared" si="117"/>
        <v>0</v>
      </c>
      <c r="O159" s="11">
        <f t="shared" si="117"/>
        <v>0</v>
      </c>
      <c r="P159" s="11">
        <f t="shared" si="117"/>
        <v>0</v>
      </c>
    </row>
    <row r="160" spans="1:16" s="2" customFormat="1" collapsed="1" x14ac:dyDescent="0.25">
      <c r="A160" s="2">
        <v>651</v>
      </c>
      <c r="B160" s="18" t="s">
        <v>469</v>
      </c>
      <c r="D160" s="164"/>
      <c r="E160" s="154">
        <f>SUM(E149:E159)</f>
        <v>0</v>
      </c>
      <c r="F160" s="154">
        <f t="shared" ref="F160:P160" si="118">SUM(F149:F159)</f>
        <v>0</v>
      </c>
      <c r="G160" s="154">
        <f t="shared" si="118"/>
        <v>0</v>
      </c>
      <c r="H160" s="154">
        <f t="shared" si="118"/>
        <v>0</v>
      </c>
      <c r="I160" s="154">
        <f t="shared" si="118"/>
        <v>0</v>
      </c>
      <c r="J160" s="154">
        <f t="shared" si="118"/>
        <v>0</v>
      </c>
      <c r="K160" s="154">
        <f t="shared" si="118"/>
        <v>0</v>
      </c>
      <c r="L160" s="154">
        <f t="shared" si="118"/>
        <v>0</v>
      </c>
      <c r="M160" s="154">
        <f t="shared" si="118"/>
        <v>0</v>
      </c>
      <c r="N160" s="154">
        <f t="shared" si="118"/>
        <v>0</v>
      </c>
      <c r="O160" s="154">
        <f t="shared" si="118"/>
        <v>0</v>
      </c>
      <c r="P160" s="154">
        <f t="shared" si="118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2" t="s">
        <v>638</v>
      </c>
      <c r="D161" s="85">
        <v>500</v>
      </c>
      <c r="E161" s="154">
        <v>0</v>
      </c>
      <c r="F161" s="154">
        <f>IF(F$182=0,0,(ROUND(0.1*F182,0)*$D161))</f>
        <v>0</v>
      </c>
      <c r="G161" s="154">
        <f>IF(G$182=0,0,(ROUND(0.1*G182,0)*$D161))</f>
        <v>4500</v>
      </c>
      <c r="H161" s="154">
        <v>0</v>
      </c>
      <c r="I161" s="154">
        <v>0</v>
      </c>
      <c r="J161" s="154">
        <v>0</v>
      </c>
      <c r="K161" s="154">
        <f>IF(K$182=0,0,(ROUND(0.1*K182,0)*$D161))</f>
        <v>8500</v>
      </c>
      <c r="L161" s="154">
        <v>0</v>
      </c>
      <c r="M161" s="154">
        <v>0</v>
      </c>
      <c r="N161" s="154">
        <v>0</v>
      </c>
      <c r="O161" s="154">
        <f>IF(O$182=0,0,(ROUND(0.1*O182,0)*$D161))</f>
        <v>10000</v>
      </c>
      <c r="P161" s="154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618</v>
      </c>
      <c r="D162" s="85">
        <v>5000</v>
      </c>
      <c r="E162" s="154">
        <v>0</v>
      </c>
      <c r="F162" s="154">
        <v>0</v>
      </c>
      <c r="G162" s="154">
        <v>0</v>
      </c>
      <c r="H162" s="154">
        <v>0</v>
      </c>
      <c r="I162" s="154">
        <v>0</v>
      </c>
      <c r="J162" s="154">
        <f>IF(J$182=0,0,$D162)</f>
        <v>5000</v>
      </c>
      <c r="K162" s="154">
        <v>0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619</v>
      </c>
      <c r="D163" s="85">
        <v>3000</v>
      </c>
      <c r="E163" s="11">
        <v>0</v>
      </c>
      <c r="F163" s="11">
        <v>0</v>
      </c>
      <c r="G163" s="11">
        <v>0</v>
      </c>
      <c r="H163" s="11">
        <v>0</v>
      </c>
      <c r="I163" s="11">
        <f>IF(I$182=0,0,$D163)</f>
        <v>3000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f>IF(O$182=0,0,$D163)</f>
        <v>3000</v>
      </c>
      <c r="P163" s="11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54">
        <f>SUM(E161:E163)</f>
        <v>0</v>
      </c>
      <c r="F164" s="154">
        <f t="shared" ref="F164:P164" si="119">SUM(F161:F163)</f>
        <v>0</v>
      </c>
      <c r="G164" s="154">
        <f t="shared" si="119"/>
        <v>4500</v>
      </c>
      <c r="H164" s="154">
        <f t="shared" si="119"/>
        <v>0</v>
      </c>
      <c r="I164" s="154">
        <f t="shared" si="119"/>
        <v>3000</v>
      </c>
      <c r="J164" s="154">
        <f t="shared" si="119"/>
        <v>5000</v>
      </c>
      <c r="K164" s="154">
        <f t="shared" si="119"/>
        <v>8500</v>
      </c>
      <c r="L164" s="154">
        <f t="shared" si="119"/>
        <v>0</v>
      </c>
      <c r="M164" s="154">
        <f t="shared" si="119"/>
        <v>0</v>
      </c>
      <c r="N164" s="154">
        <f t="shared" si="119"/>
        <v>0</v>
      </c>
      <c r="O164" s="154">
        <f t="shared" si="119"/>
        <v>13000</v>
      </c>
      <c r="P164" s="154">
        <f t="shared" si="119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54">
        <f>IF(E$182=0,0,$D165*E$182)</f>
        <v>0</v>
      </c>
      <c r="F165" s="154">
        <f t="shared" ref="F165:P166" si="120">IF(F$182=0,0,$D165*F$182)</f>
        <v>0</v>
      </c>
      <c r="G165" s="154">
        <f t="shared" si="120"/>
        <v>450</v>
      </c>
      <c r="H165" s="154">
        <f t="shared" si="120"/>
        <v>650</v>
      </c>
      <c r="I165" s="154">
        <f t="shared" si="120"/>
        <v>750</v>
      </c>
      <c r="J165" s="154">
        <f t="shared" si="120"/>
        <v>790</v>
      </c>
      <c r="K165" s="154">
        <f t="shared" si="120"/>
        <v>830</v>
      </c>
      <c r="L165" s="154">
        <f t="shared" si="120"/>
        <v>870</v>
      </c>
      <c r="M165" s="154">
        <f t="shared" si="120"/>
        <v>915</v>
      </c>
      <c r="N165" s="154">
        <f t="shared" si="120"/>
        <v>960</v>
      </c>
      <c r="O165" s="154">
        <f t="shared" si="120"/>
        <v>1010</v>
      </c>
      <c r="P165" s="154">
        <f t="shared" si="120"/>
        <v>1060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54">
        <f>IF(E$182=0,0,$D166*E$182)</f>
        <v>0</v>
      </c>
      <c r="F166" s="154">
        <f t="shared" si="120"/>
        <v>0</v>
      </c>
      <c r="G166" s="154">
        <f t="shared" si="120"/>
        <v>450</v>
      </c>
      <c r="H166" s="154">
        <f t="shared" si="120"/>
        <v>650</v>
      </c>
      <c r="I166" s="154">
        <f t="shared" si="120"/>
        <v>750</v>
      </c>
      <c r="J166" s="154">
        <f t="shared" si="120"/>
        <v>790</v>
      </c>
      <c r="K166" s="154">
        <f t="shared" si="120"/>
        <v>830</v>
      </c>
      <c r="L166" s="154">
        <f t="shared" si="120"/>
        <v>870</v>
      </c>
      <c r="M166" s="154">
        <f t="shared" si="120"/>
        <v>915</v>
      </c>
      <c r="N166" s="154">
        <f t="shared" si="120"/>
        <v>960</v>
      </c>
      <c r="O166" s="154">
        <f t="shared" si="120"/>
        <v>1010</v>
      </c>
      <c r="P166" s="154">
        <f t="shared" si="120"/>
        <v>1060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54">
        <f>IF(E$182=0,0,$D167*10)</f>
        <v>0</v>
      </c>
      <c r="F167" s="154">
        <f t="shared" ref="F167:P167" si="121">IF(F$182=0,0,$D167*10)</f>
        <v>0</v>
      </c>
      <c r="G167" s="154">
        <f t="shared" si="121"/>
        <v>50</v>
      </c>
      <c r="H167" s="154">
        <f t="shared" si="121"/>
        <v>50</v>
      </c>
      <c r="I167" s="154">
        <f t="shared" si="121"/>
        <v>50</v>
      </c>
      <c r="J167" s="154">
        <f t="shared" si="121"/>
        <v>50</v>
      </c>
      <c r="K167" s="154">
        <f t="shared" si="121"/>
        <v>50</v>
      </c>
      <c r="L167" s="154">
        <f t="shared" si="121"/>
        <v>50</v>
      </c>
      <c r="M167" s="154">
        <f t="shared" si="121"/>
        <v>50</v>
      </c>
      <c r="N167" s="154">
        <f t="shared" si="121"/>
        <v>50</v>
      </c>
      <c r="O167" s="154">
        <f t="shared" si="121"/>
        <v>50</v>
      </c>
      <c r="P167" s="154">
        <f t="shared" si="121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54">
        <f>IF(E$182=0,0,$D168)</f>
        <v>0</v>
      </c>
      <c r="F168" s="154">
        <f t="shared" ref="F168:P170" si="122">IF(F$182=0,0,$D168)</f>
        <v>0</v>
      </c>
      <c r="G168" s="154">
        <f t="shared" si="122"/>
        <v>0</v>
      </c>
      <c r="H168" s="154">
        <f t="shared" si="122"/>
        <v>0</v>
      </c>
      <c r="I168" s="154">
        <f t="shared" si="122"/>
        <v>0</v>
      </c>
      <c r="J168" s="154">
        <f t="shared" si="122"/>
        <v>0</v>
      </c>
      <c r="K168" s="154">
        <f t="shared" si="122"/>
        <v>0</v>
      </c>
      <c r="L168" s="154">
        <f t="shared" si="122"/>
        <v>0</v>
      </c>
      <c r="M168" s="154">
        <f t="shared" si="122"/>
        <v>0</v>
      </c>
      <c r="N168" s="154">
        <f t="shared" si="122"/>
        <v>0</v>
      </c>
      <c r="O168" s="154">
        <f t="shared" si="122"/>
        <v>0</v>
      </c>
      <c r="P168" s="154">
        <f t="shared" si="122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54">
        <f>IF(E$182=0,0,$D169)</f>
        <v>0</v>
      </c>
      <c r="F169" s="154">
        <f t="shared" si="122"/>
        <v>0</v>
      </c>
      <c r="G169" s="154">
        <f t="shared" si="122"/>
        <v>0</v>
      </c>
      <c r="H169" s="154">
        <f t="shared" si="122"/>
        <v>0</v>
      </c>
      <c r="I169" s="154">
        <f t="shared" si="122"/>
        <v>0</v>
      </c>
      <c r="J169" s="154">
        <f t="shared" si="122"/>
        <v>0</v>
      </c>
      <c r="K169" s="154">
        <f t="shared" si="122"/>
        <v>0</v>
      </c>
      <c r="L169" s="154">
        <f t="shared" si="122"/>
        <v>0</v>
      </c>
      <c r="M169" s="154">
        <f t="shared" si="122"/>
        <v>0</v>
      </c>
      <c r="N169" s="154">
        <f t="shared" si="122"/>
        <v>0</v>
      </c>
      <c r="O169" s="154">
        <f t="shared" si="122"/>
        <v>0</v>
      </c>
      <c r="P169" s="154">
        <f t="shared" si="122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54">
        <f>IF(E$182=0,0,$D170)</f>
        <v>0</v>
      </c>
      <c r="F170" s="154">
        <f t="shared" si="122"/>
        <v>0</v>
      </c>
      <c r="G170" s="154">
        <f t="shared" si="122"/>
        <v>0</v>
      </c>
      <c r="H170" s="154">
        <f t="shared" si="122"/>
        <v>0</v>
      </c>
      <c r="I170" s="154">
        <f t="shared" si="122"/>
        <v>0</v>
      </c>
      <c r="J170" s="154">
        <f t="shared" si="122"/>
        <v>0</v>
      </c>
      <c r="K170" s="154">
        <f t="shared" si="122"/>
        <v>0</v>
      </c>
      <c r="L170" s="154">
        <f t="shared" si="122"/>
        <v>0</v>
      </c>
      <c r="M170" s="154">
        <f t="shared" si="122"/>
        <v>0</v>
      </c>
      <c r="N170" s="154">
        <f t="shared" si="122"/>
        <v>0</v>
      </c>
      <c r="O170" s="154">
        <f t="shared" si="122"/>
        <v>0</v>
      </c>
      <c r="P170" s="154">
        <f t="shared" si="122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54">
        <f>IF(E$182=0,0,($D171*12))</f>
        <v>0</v>
      </c>
      <c r="F171" s="154">
        <f t="shared" ref="F171:P171" si="123">IF(F$182=0,0,($D171*12))</f>
        <v>0</v>
      </c>
      <c r="G171" s="154">
        <f t="shared" si="123"/>
        <v>0</v>
      </c>
      <c r="H171" s="154">
        <f t="shared" si="123"/>
        <v>0</v>
      </c>
      <c r="I171" s="154">
        <f t="shared" si="123"/>
        <v>0</v>
      </c>
      <c r="J171" s="154">
        <f t="shared" si="123"/>
        <v>0</v>
      </c>
      <c r="K171" s="154">
        <f t="shared" si="123"/>
        <v>0</v>
      </c>
      <c r="L171" s="154">
        <f t="shared" si="123"/>
        <v>0</v>
      </c>
      <c r="M171" s="154">
        <f t="shared" si="123"/>
        <v>0</v>
      </c>
      <c r="N171" s="154">
        <f t="shared" si="123"/>
        <v>0</v>
      </c>
      <c r="O171" s="154">
        <f t="shared" si="123"/>
        <v>0</v>
      </c>
      <c r="P171" s="154">
        <f t="shared" si="123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622</v>
      </c>
      <c r="D172" s="85">
        <v>1600</v>
      </c>
      <c r="E172" s="11">
        <f>IF(E$182=0,0,$D172)</f>
        <v>0</v>
      </c>
      <c r="F172" s="11">
        <f t="shared" ref="F172:P172" si="124">IF(F$182=0,0,$D172)</f>
        <v>0</v>
      </c>
      <c r="G172" s="11">
        <f t="shared" si="124"/>
        <v>1600</v>
      </c>
      <c r="H172" s="11">
        <f t="shared" si="124"/>
        <v>1600</v>
      </c>
      <c r="I172" s="11">
        <f t="shared" si="124"/>
        <v>1600</v>
      </c>
      <c r="J172" s="11">
        <f t="shared" si="124"/>
        <v>1600</v>
      </c>
      <c r="K172" s="11">
        <f t="shared" si="124"/>
        <v>1600</v>
      </c>
      <c r="L172" s="11">
        <f t="shared" si="124"/>
        <v>1600</v>
      </c>
      <c r="M172" s="11">
        <f t="shared" si="124"/>
        <v>1600</v>
      </c>
      <c r="N172" s="11">
        <f t="shared" si="124"/>
        <v>1600</v>
      </c>
      <c r="O172" s="11">
        <f t="shared" si="124"/>
        <v>1600</v>
      </c>
      <c r="P172" s="11">
        <f t="shared" si="124"/>
        <v>1600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54">
        <f>SUM(E165:E172)</f>
        <v>0</v>
      </c>
      <c r="F173" s="154">
        <f t="shared" ref="F173:P173" si="125">SUM(F165:F172)</f>
        <v>0</v>
      </c>
      <c r="G173" s="154">
        <f t="shared" si="125"/>
        <v>2550</v>
      </c>
      <c r="H173" s="154">
        <f t="shared" si="125"/>
        <v>2950</v>
      </c>
      <c r="I173" s="154">
        <f t="shared" si="125"/>
        <v>3150</v>
      </c>
      <c r="J173" s="154">
        <f t="shared" si="125"/>
        <v>3230</v>
      </c>
      <c r="K173" s="154">
        <f t="shared" si="125"/>
        <v>3310</v>
      </c>
      <c r="L173" s="154">
        <f t="shared" si="125"/>
        <v>3390</v>
      </c>
      <c r="M173" s="154">
        <f t="shared" si="125"/>
        <v>3480</v>
      </c>
      <c r="N173" s="154">
        <f t="shared" si="125"/>
        <v>3570</v>
      </c>
      <c r="O173" s="154">
        <f t="shared" si="125"/>
        <v>3670</v>
      </c>
      <c r="P173" s="154">
        <f t="shared" si="125"/>
        <v>3770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54">
        <v>0</v>
      </c>
      <c r="F175" s="154">
        <v>0</v>
      </c>
      <c r="G175" s="154">
        <v>0</v>
      </c>
      <c r="H175" s="154">
        <v>0</v>
      </c>
      <c r="I175" s="154">
        <v>0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0</v>
      </c>
      <c r="F176" s="183">
        <f>F175+F174+F173+F164+F160+F148+F145+F141+F140+F139+F138+F134+F133+F126+F120+F119+F118+F114+F109+F108+F105+F104+F102+F101+F96+F92+F84+F83+F82+F81+F55</f>
        <v>0</v>
      </c>
      <c r="G176" s="183">
        <f t="shared" ref="G176:P176" si="126">G175+G174+G173+G164+G160+G148+G145+G141+G140+G139+G138+G134+G133+G126+G120+G119+G118+G114+G109+G108+G105+G104+G102+G101+G96+G92+G84+G83+G82+G81+G55</f>
        <v>449859.87343031249</v>
      </c>
      <c r="H176" s="183">
        <f t="shared" si="126"/>
        <v>645924.74589076871</v>
      </c>
      <c r="I176" s="183">
        <f t="shared" si="126"/>
        <v>725407.6164162386</v>
      </c>
      <c r="J176" s="183">
        <f t="shared" si="126"/>
        <v>763290.47038040508</v>
      </c>
      <c r="K176" s="183">
        <f t="shared" si="126"/>
        <v>803837.63604561402</v>
      </c>
      <c r="L176" s="183">
        <f t="shared" si="126"/>
        <v>833240.23914403445</v>
      </c>
      <c r="M176" s="183">
        <f t="shared" si="126"/>
        <v>875466.86046094075</v>
      </c>
      <c r="N176" s="183">
        <f t="shared" si="126"/>
        <v>918155.23363487539</v>
      </c>
      <c r="O176" s="183">
        <f t="shared" si="126"/>
        <v>977871.68492283532</v>
      </c>
      <c r="P176" s="183">
        <f t="shared" si="126"/>
        <v>1012650.4761869379</v>
      </c>
    </row>
    <row r="177" spans="1:16" s="2" customFormat="1" ht="15.75" thickBot="1" x14ac:dyDescent="0.3">
      <c r="A177" s="16" t="s">
        <v>217</v>
      </c>
      <c r="E177" s="205">
        <f>E39-E176</f>
        <v>0</v>
      </c>
      <c r="F177" s="205">
        <f>F39-F176</f>
        <v>0</v>
      </c>
      <c r="G177" s="205">
        <f t="shared" ref="G177:P177" si="127">G39-G176</f>
        <v>18.13185093755601</v>
      </c>
      <c r="H177" s="205">
        <f t="shared" si="127"/>
        <v>2537.5039651063271</v>
      </c>
      <c r="I177" s="205">
        <f t="shared" si="127"/>
        <v>21181.312834894401</v>
      </c>
      <c r="J177" s="205">
        <f t="shared" si="127"/>
        <v>13630.02340516157</v>
      </c>
      <c r="K177" s="205">
        <f t="shared" si="127"/>
        <v>18542.541063038632</v>
      </c>
      <c r="L177" s="205">
        <f t="shared" si="127"/>
        <v>35237.814759774832</v>
      </c>
      <c r="M177" s="205">
        <f t="shared" si="127"/>
        <v>44782.967087220633</v>
      </c>
      <c r="N177" s="205">
        <f t="shared" si="127"/>
        <v>54594.092271771282</v>
      </c>
      <c r="O177" s="205">
        <f t="shared" si="127"/>
        <v>53217.268524514744</v>
      </c>
      <c r="P177" s="205">
        <f t="shared" si="127"/>
        <v>77598.482064644108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8">E3</f>
        <v>FY 2018-2019</v>
      </c>
      <c r="F179" s="3" t="str">
        <f t="shared" si="128"/>
        <v>FY 2019-2020</v>
      </c>
      <c r="G179" s="3" t="str">
        <f t="shared" si="128"/>
        <v>FY 2020-2021</v>
      </c>
      <c r="H179" s="3" t="str">
        <f t="shared" si="128"/>
        <v>FY 2021-2022</v>
      </c>
      <c r="I179" s="3" t="str">
        <f t="shared" si="128"/>
        <v>FY 2022-2023</v>
      </c>
      <c r="J179" s="3" t="str">
        <f t="shared" si="128"/>
        <v>FY 2023-2024</v>
      </c>
      <c r="K179" s="3" t="str">
        <f t="shared" si="128"/>
        <v>FY 2024-2025</v>
      </c>
      <c r="L179" s="3" t="str">
        <f t="shared" si="128"/>
        <v>FY 2025-2026</v>
      </c>
      <c r="M179" s="3" t="str">
        <f t="shared" si="128"/>
        <v>FY 2026-2027</v>
      </c>
      <c r="N179" s="3" t="str">
        <f t="shared" si="128"/>
        <v>FY 2027-2028</v>
      </c>
      <c r="O179" s="3" t="str">
        <f t="shared" si="128"/>
        <v>FY 2027-2028</v>
      </c>
      <c r="P179" s="3" t="str">
        <f t="shared" si="128"/>
        <v>FY 2028-2029</v>
      </c>
    </row>
    <row r="180" spans="1:16" s="2" customFormat="1" x14ac:dyDescent="0.25">
      <c r="C180" s="2">
        <v>11</v>
      </c>
      <c r="E180" s="133">
        <f>Assumptions!E66</f>
        <v>0</v>
      </c>
      <c r="F180" s="133">
        <f>Assumptions!F66</f>
        <v>0</v>
      </c>
      <c r="G180" s="133">
        <f>Assumptions!G66</f>
        <v>50</v>
      </c>
      <c r="H180" s="133">
        <f>Assumptions!H66</f>
        <v>70</v>
      </c>
      <c r="I180" s="133">
        <f>Assumptions!I66</f>
        <v>80</v>
      </c>
      <c r="J180" s="133">
        <f>Assumptions!J66</f>
        <v>90</v>
      </c>
      <c r="K180" s="133">
        <f>Assumptions!K66</f>
        <v>90</v>
      </c>
      <c r="L180" s="133">
        <f>Assumptions!L66</f>
        <v>100</v>
      </c>
      <c r="M180" s="133">
        <f>Assumptions!M66</f>
        <v>100</v>
      </c>
      <c r="N180" s="133">
        <f>Assumptions!N66</f>
        <v>110</v>
      </c>
      <c r="O180" s="133">
        <f>Assumptions!O66</f>
        <v>110</v>
      </c>
      <c r="P180" s="133">
        <f>Assumptions!P66</f>
        <v>120</v>
      </c>
    </row>
    <row r="181" spans="1:16" s="2" customFormat="1" x14ac:dyDescent="0.25">
      <c r="C181" s="2">
        <v>12</v>
      </c>
      <c r="E181" s="197">
        <f>Assumptions!E67</f>
        <v>0</v>
      </c>
      <c r="F181" s="197">
        <f>Assumptions!F67</f>
        <v>0</v>
      </c>
      <c r="G181" s="197">
        <f>Assumptions!G67</f>
        <v>40</v>
      </c>
      <c r="H181" s="197">
        <f>Assumptions!H67</f>
        <v>60</v>
      </c>
      <c r="I181" s="197">
        <f>Assumptions!I67</f>
        <v>70</v>
      </c>
      <c r="J181" s="197">
        <f>Assumptions!J67</f>
        <v>68</v>
      </c>
      <c r="K181" s="197">
        <f>Assumptions!K67</f>
        <v>76</v>
      </c>
      <c r="L181" s="197">
        <f>Assumptions!L67</f>
        <v>74</v>
      </c>
      <c r="M181" s="197">
        <f>Assumptions!M67</f>
        <v>83</v>
      </c>
      <c r="N181" s="197">
        <f>Assumptions!N67</f>
        <v>82</v>
      </c>
      <c r="O181" s="197">
        <f>Assumptions!O67</f>
        <v>92</v>
      </c>
      <c r="P181" s="197">
        <f>Assumptions!P67</f>
        <v>92</v>
      </c>
    </row>
    <row r="182" spans="1:16" s="2" customFormat="1" x14ac:dyDescent="0.25">
      <c r="E182" s="113">
        <f t="shared" ref="E182:P182" si="129">SUM(E180:E181)</f>
        <v>0</v>
      </c>
      <c r="F182" s="113">
        <f t="shared" si="129"/>
        <v>0</v>
      </c>
      <c r="G182" s="113">
        <f t="shared" si="129"/>
        <v>90</v>
      </c>
      <c r="H182" s="113">
        <f t="shared" si="129"/>
        <v>130</v>
      </c>
      <c r="I182" s="113">
        <f t="shared" si="129"/>
        <v>150</v>
      </c>
      <c r="J182" s="113">
        <f t="shared" si="129"/>
        <v>158</v>
      </c>
      <c r="K182" s="113">
        <f t="shared" si="129"/>
        <v>166</v>
      </c>
      <c r="L182" s="113">
        <f t="shared" si="129"/>
        <v>174</v>
      </c>
      <c r="M182" s="113">
        <f t="shared" si="129"/>
        <v>183</v>
      </c>
      <c r="N182" s="113">
        <f t="shared" si="129"/>
        <v>192</v>
      </c>
      <c r="O182" s="113">
        <f t="shared" si="129"/>
        <v>202</v>
      </c>
      <c r="P182" s="113">
        <f t="shared" si="129"/>
        <v>212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0</v>
      </c>
      <c r="F185" s="2">
        <f t="shared" ref="F185:P185" si="130">ROUND(F182*$D185,0)</f>
        <v>0</v>
      </c>
      <c r="G185" s="2">
        <f t="shared" si="130"/>
        <v>2</v>
      </c>
      <c r="H185" s="2">
        <f t="shared" si="130"/>
        <v>3</v>
      </c>
      <c r="I185" s="2">
        <f t="shared" si="130"/>
        <v>3</v>
      </c>
      <c r="J185" s="2">
        <f t="shared" si="130"/>
        <v>3</v>
      </c>
      <c r="K185" s="2">
        <f t="shared" si="130"/>
        <v>3</v>
      </c>
      <c r="L185" s="2">
        <f t="shared" si="130"/>
        <v>3</v>
      </c>
      <c r="M185" s="2">
        <f t="shared" si="130"/>
        <v>4</v>
      </c>
      <c r="N185" s="2">
        <f t="shared" si="130"/>
        <v>4</v>
      </c>
      <c r="O185" s="2">
        <f t="shared" si="130"/>
        <v>4</v>
      </c>
      <c r="P185" s="2">
        <f t="shared" si="130"/>
        <v>4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31">E3</f>
        <v>FY 2018-2019</v>
      </c>
      <c r="F187" s="3" t="str">
        <f t="shared" si="131"/>
        <v>FY 2019-2020</v>
      </c>
      <c r="G187" s="3" t="str">
        <f t="shared" si="131"/>
        <v>FY 2020-2021</v>
      </c>
      <c r="H187" s="3" t="str">
        <f t="shared" si="131"/>
        <v>FY 2021-2022</v>
      </c>
      <c r="I187" s="3" t="str">
        <f t="shared" si="131"/>
        <v>FY 2022-2023</v>
      </c>
      <c r="J187" s="3" t="str">
        <f t="shared" si="131"/>
        <v>FY 2023-2024</v>
      </c>
      <c r="K187" s="3" t="str">
        <f t="shared" si="131"/>
        <v>FY 2024-2025</v>
      </c>
      <c r="L187" s="3" t="str">
        <f t="shared" si="131"/>
        <v>FY 2025-2026</v>
      </c>
      <c r="M187" s="3" t="str">
        <f t="shared" si="131"/>
        <v>FY 2026-2027</v>
      </c>
      <c r="N187" s="3" t="str">
        <f t="shared" si="131"/>
        <v>FY 2027-2028</v>
      </c>
      <c r="O187" s="3" t="str">
        <f t="shared" si="131"/>
        <v>FY 2027-2028</v>
      </c>
      <c r="P187" s="3" t="str">
        <f t="shared" si="131"/>
        <v>FY 2028-2029</v>
      </c>
    </row>
    <row r="188" spans="1:16" s="2" customFormat="1" x14ac:dyDescent="0.25">
      <c r="A188" s="2" t="s">
        <v>401</v>
      </c>
      <c r="B188" s="7" t="s">
        <v>410</v>
      </c>
      <c r="C188" s="219"/>
      <c r="D188" s="217"/>
      <c r="E188" s="309">
        <v>0</v>
      </c>
      <c r="F188" s="309">
        <v>0</v>
      </c>
      <c r="G188" s="309">
        <v>0</v>
      </c>
      <c r="H188" s="309">
        <v>0</v>
      </c>
      <c r="I188" s="309">
        <v>0</v>
      </c>
      <c r="J188" s="309">
        <v>0</v>
      </c>
      <c r="K188" s="309">
        <v>0</v>
      </c>
      <c r="L188" s="2">
        <f>K188</f>
        <v>0</v>
      </c>
      <c r="M188" s="2">
        <f t="shared" ref="M188:P196" si="132">L188</f>
        <v>0</v>
      </c>
      <c r="N188" s="2">
        <f t="shared" si="132"/>
        <v>0</v>
      </c>
      <c r="O188" s="2">
        <f t="shared" si="132"/>
        <v>0</v>
      </c>
      <c r="P188" s="2">
        <f t="shared" si="132"/>
        <v>0</v>
      </c>
    </row>
    <row r="189" spans="1:16" s="2" customFormat="1" x14ac:dyDescent="0.25">
      <c r="A189" s="2" t="s">
        <v>404</v>
      </c>
      <c r="B189" s="7" t="s">
        <v>411</v>
      </c>
      <c r="C189" s="219"/>
      <c r="D189" s="217"/>
      <c r="E189" s="309">
        <v>0</v>
      </c>
      <c r="F189" s="309">
        <v>0</v>
      </c>
      <c r="G189" s="309">
        <v>1</v>
      </c>
      <c r="H189" s="309">
        <v>1</v>
      </c>
      <c r="I189" s="309">
        <v>1</v>
      </c>
      <c r="J189" s="309">
        <v>1</v>
      </c>
      <c r="K189" s="309">
        <v>1</v>
      </c>
      <c r="L189" s="309">
        <v>1</v>
      </c>
      <c r="M189" s="309">
        <v>1</v>
      </c>
      <c r="N189" s="309">
        <v>1</v>
      </c>
      <c r="O189" s="309">
        <v>1</v>
      </c>
      <c r="P189" s="309"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309">
        <v>0</v>
      </c>
      <c r="F190" s="309">
        <v>0</v>
      </c>
      <c r="G190" s="309">
        <v>0</v>
      </c>
      <c r="H190" s="309">
        <v>1</v>
      </c>
      <c r="I190" s="309">
        <v>1</v>
      </c>
      <c r="J190" s="309">
        <v>1</v>
      </c>
      <c r="K190" s="309">
        <v>1</v>
      </c>
      <c r="L190" s="309">
        <v>1</v>
      </c>
      <c r="M190" s="113">
        <f t="shared" si="132"/>
        <v>1</v>
      </c>
      <c r="N190" s="113">
        <f t="shared" si="132"/>
        <v>1</v>
      </c>
      <c r="O190" s="113">
        <f t="shared" si="132"/>
        <v>1</v>
      </c>
      <c r="P190" s="113">
        <f t="shared" si="132"/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309">
        <v>0</v>
      </c>
      <c r="F191" s="309">
        <v>0</v>
      </c>
      <c r="G191" s="309">
        <v>1</v>
      </c>
      <c r="H191" s="309">
        <v>1</v>
      </c>
      <c r="I191" s="309">
        <v>0</v>
      </c>
      <c r="J191" s="309">
        <v>0</v>
      </c>
      <c r="K191" s="309">
        <v>0</v>
      </c>
      <c r="L191" s="2">
        <f>K191</f>
        <v>0</v>
      </c>
      <c r="M191" s="113">
        <f t="shared" si="132"/>
        <v>0</v>
      </c>
      <c r="N191" s="113">
        <f t="shared" si="132"/>
        <v>0</v>
      </c>
      <c r="O191" s="113">
        <f t="shared" si="132"/>
        <v>0</v>
      </c>
      <c r="P191" s="113">
        <f t="shared" si="132"/>
        <v>0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309">
        <v>0</v>
      </c>
      <c r="F192" s="309">
        <v>0</v>
      </c>
      <c r="G192" s="309">
        <v>0</v>
      </c>
      <c r="H192" s="309">
        <v>1</v>
      </c>
      <c r="I192" s="309">
        <v>2</v>
      </c>
      <c r="J192" s="309">
        <v>2</v>
      </c>
      <c r="K192" s="309">
        <v>2</v>
      </c>
      <c r="L192" s="113">
        <f>K192</f>
        <v>2</v>
      </c>
      <c r="M192" s="113">
        <f t="shared" si="132"/>
        <v>2</v>
      </c>
      <c r="N192" s="113">
        <f t="shared" si="132"/>
        <v>2</v>
      </c>
      <c r="O192" s="113">
        <f t="shared" si="132"/>
        <v>2</v>
      </c>
      <c r="P192" s="113">
        <f t="shared" si="132"/>
        <v>2</v>
      </c>
    </row>
    <row r="193" spans="1:16" s="2" customFormat="1" x14ac:dyDescent="0.25">
      <c r="A193" s="2">
        <v>6127</v>
      </c>
      <c r="B193" s="13" t="s">
        <v>533</v>
      </c>
      <c r="C193" s="221"/>
      <c r="D193" s="216"/>
      <c r="E193" s="309">
        <v>0</v>
      </c>
      <c r="F193" s="309">
        <v>0</v>
      </c>
      <c r="G193" s="309">
        <v>0</v>
      </c>
      <c r="H193" s="309">
        <v>0</v>
      </c>
      <c r="I193" s="309">
        <v>0</v>
      </c>
      <c r="J193" s="309">
        <v>0</v>
      </c>
      <c r="K193" s="309">
        <v>0</v>
      </c>
      <c r="L193" s="113">
        <f>K193</f>
        <v>0</v>
      </c>
      <c r="M193" s="113">
        <f t="shared" si="132"/>
        <v>0</v>
      </c>
      <c r="N193" s="113">
        <f t="shared" si="132"/>
        <v>0</v>
      </c>
      <c r="O193" s="113">
        <f t="shared" si="132"/>
        <v>0</v>
      </c>
      <c r="P193" s="113">
        <f t="shared" si="132"/>
        <v>0</v>
      </c>
    </row>
    <row r="194" spans="1:16" s="2" customFormat="1" x14ac:dyDescent="0.25">
      <c r="A194" s="2">
        <v>6127</v>
      </c>
      <c r="B194" s="13" t="s">
        <v>534</v>
      </c>
      <c r="C194" s="221"/>
      <c r="D194" s="216"/>
      <c r="E194" s="309">
        <v>0</v>
      </c>
      <c r="F194" s="309">
        <v>0</v>
      </c>
      <c r="G194" s="309">
        <v>0</v>
      </c>
      <c r="H194" s="309">
        <v>0</v>
      </c>
      <c r="I194" s="309">
        <v>0</v>
      </c>
      <c r="J194" s="309">
        <v>0</v>
      </c>
      <c r="K194" s="309">
        <v>0</v>
      </c>
      <c r="L194" s="113">
        <f>K194</f>
        <v>0</v>
      </c>
      <c r="M194" s="113">
        <f t="shared" si="132"/>
        <v>0</v>
      </c>
      <c r="N194" s="113">
        <f t="shared" si="132"/>
        <v>0</v>
      </c>
      <c r="O194" s="113">
        <f t="shared" si="132"/>
        <v>0</v>
      </c>
      <c r="P194" s="113">
        <f t="shared" si="132"/>
        <v>0</v>
      </c>
    </row>
    <row r="195" spans="1:16" s="2" customFormat="1" x14ac:dyDescent="0.25">
      <c r="A195" s="2">
        <v>6127</v>
      </c>
      <c r="B195" s="7" t="s">
        <v>540</v>
      </c>
      <c r="C195" s="219"/>
      <c r="D195" s="216"/>
      <c r="E195" s="310">
        <v>0</v>
      </c>
      <c r="F195" s="310">
        <v>0</v>
      </c>
      <c r="G195" s="310">
        <v>0</v>
      </c>
      <c r="H195" s="310">
        <v>0</v>
      </c>
      <c r="I195" s="310">
        <v>0</v>
      </c>
      <c r="J195" s="310">
        <v>0</v>
      </c>
      <c r="K195" s="310">
        <v>0</v>
      </c>
      <c r="L195" s="310">
        <v>0</v>
      </c>
      <c r="M195" s="113">
        <f t="shared" si="132"/>
        <v>0</v>
      </c>
      <c r="N195" s="113">
        <f t="shared" si="132"/>
        <v>0</v>
      </c>
      <c r="O195" s="113">
        <f t="shared" si="132"/>
        <v>0</v>
      </c>
      <c r="P195" s="113">
        <f t="shared" si="132"/>
        <v>0</v>
      </c>
    </row>
    <row r="196" spans="1:16" s="2" customFormat="1" x14ac:dyDescent="0.25">
      <c r="B196" s="7" t="s">
        <v>400</v>
      </c>
      <c r="C196" s="219"/>
      <c r="D196" s="216"/>
      <c r="E196" s="311">
        <v>0</v>
      </c>
      <c r="F196" s="311">
        <v>0</v>
      </c>
      <c r="G196" s="311">
        <v>0</v>
      </c>
      <c r="H196" s="311">
        <v>0</v>
      </c>
      <c r="I196" s="311">
        <v>0</v>
      </c>
      <c r="J196" s="311">
        <v>0</v>
      </c>
      <c r="K196" s="311">
        <v>0</v>
      </c>
      <c r="L196" s="182">
        <f>K196</f>
        <v>0</v>
      </c>
      <c r="M196" s="182">
        <f t="shared" si="132"/>
        <v>0</v>
      </c>
      <c r="N196" s="182">
        <f t="shared" si="132"/>
        <v>0</v>
      </c>
      <c r="O196" s="182">
        <f t="shared" si="132"/>
        <v>0</v>
      </c>
      <c r="P196" s="182">
        <f t="shared" si="132"/>
        <v>0</v>
      </c>
    </row>
    <row r="197" spans="1:16" s="23" customFormat="1" x14ac:dyDescent="0.25">
      <c r="C197" s="78"/>
      <c r="D197" s="78"/>
      <c r="E197" s="23">
        <f>SUM(E188:E195)</f>
        <v>0</v>
      </c>
      <c r="F197" s="23">
        <f t="shared" ref="F197:P197" si="133">SUM(F188:F195)</f>
        <v>0</v>
      </c>
      <c r="G197" s="23">
        <f t="shared" si="133"/>
        <v>2</v>
      </c>
      <c r="H197" s="23">
        <f t="shared" si="133"/>
        <v>4</v>
      </c>
      <c r="I197" s="23">
        <f t="shared" si="133"/>
        <v>4</v>
      </c>
      <c r="J197" s="23">
        <f t="shared" si="133"/>
        <v>4</v>
      </c>
      <c r="K197" s="23">
        <f t="shared" si="133"/>
        <v>4</v>
      </c>
      <c r="L197" s="23">
        <f t="shared" si="133"/>
        <v>4</v>
      </c>
      <c r="M197" s="23">
        <f t="shared" si="133"/>
        <v>4</v>
      </c>
      <c r="N197" s="23">
        <f t="shared" si="133"/>
        <v>4</v>
      </c>
      <c r="O197" s="23">
        <f t="shared" si="133"/>
        <v>4</v>
      </c>
      <c r="P197" s="23">
        <f t="shared" si="133"/>
        <v>4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0</v>
      </c>
      <c r="F199" s="191">
        <f t="shared" ref="F199:P199" si="134">SUMIFS(F$188:F$195,$A$188:$A$195,$A188)</f>
        <v>0</v>
      </c>
      <c r="G199" s="191">
        <f t="shared" si="134"/>
        <v>0</v>
      </c>
      <c r="H199" s="191">
        <f t="shared" si="134"/>
        <v>0</v>
      </c>
      <c r="I199" s="191">
        <f t="shared" si="134"/>
        <v>0</v>
      </c>
      <c r="J199" s="191">
        <f t="shared" si="134"/>
        <v>0</v>
      </c>
      <c r="K199" s="191">
        <f t="shared" si="134"/>
        <v>0</v>
      </c>
      <c r="L199" s="191">
        <f t="shared" si="134"/>
        <v>0</v>
      </c>
      <c r="M199" s="191">
        <f t="shared" si="134"/>
        <v>0</v>
      </c>
      <c r="N199" s="191">
        <f t="shared" si="134"/>
        <v>0</v>
      </c>
      <c r="O199" s="191">
        <f t="shared" si="134"/>
        <v>0</v>
      </c>
      <c r="P199" s="191">
        <f t="shared" si="134"/>
        <v>0</v>
      </c>
    </row>
    <row r="200" spans="1:16" s="23" customFormat="1" x14ac:dyDescent="0.25">
      <c r="A200" s="7" t="s">
        <v>9</v>
      </c>
      <c r="B200" s="25"/>
      <c r="E200" s="23">
        <f>SUM(E199:E199)</f>
        <v>0</v>
      </c>
      <c r="F200" s="23">
        <f t="shared" ref="F200:P200" si="135">SUM(F199:F199)</f>
        <v>0</v>
      </c>
      <c r="G200" s="23">
        <f t="shared" si="135"/>
        <v>0</v>
      </c>
      <c r="H200" s="23">
        <f t="shared" si="135"/>
        <v>0</v>
      </c>
      <c r="I200" s="23">
        <f t="shared" si="135"/>
        <v>0</v>
      </c>
      <c r="J200" s="23">
        <f t="shared" si="135"/>
        <v>0</v>
      </c>
      <c r="K200" s="23">
        <f t="shared" si="135"/>
        <v>0</v>
      </c>
      <c r="L200" s="23">
        <f t="shared" si="135"/>
        <v>0</v>
      </c>
      <c r="M200" s="23">
        <f t="shared" si="135"/>
        <v>0</v>
      </c>
      <c r="N200" s="23">
        <f t="shared" si="135"/>
        <v>0</v>
      </c>
      <c r="O200" s="23">
        <f t="shared" si="135"/>
        <v>0</v>
      </c>
      <c r="P200" s="23">
        <f t="shared" si="135"/>
        <v>0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0</v>
      </c>
      <c r="F202" s="17">
        <f t="shared" ref="F202:P202" si="136">SUMIFS(F188:F196,$A188:$A196,$A191)</f>
        <v>0</v>
      </c>
      <c r="G202" s="17">
        <f t="shared" si="136"/>
        <v>1</v>
      </c>
      <c r="H202" s="17">
        <f t="shared" si="136"/>
        <v>2</v>
      </c>
      <c r="I202" s="17">
        <f t="shared" si="136"/>
        <v>2</v>
      </c>
      <c r="J202" s="17">
        <f t="shared" si="136"/>
        <v>2</v>
      </c>
      <c r="K202" s="17">
        <f t="shared" si="136"/>
        <v>2</v>
      </c>
      <c r="L202" s="17">
        <f t="shared" si="136"/>
        <v>2</v>
      </c>
      <c r="M202" s="17">
        <f t="shared" si="136"/>
        <v>2</v>
      </c>
      <c r="N202" s="17">
        <f t="shared" si="136"/>
        <v>2</v>
      </c>
      <c r="O202" s="17">
        <f t="shared" si="136"/>
        <v>2</v>
      </c>
      <c r="P202" s="17">
        <f t="shared" si="136"/>
        <v>2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0</v>
      </c>
      <c r="F203" s="17">
        <f t="shared" ref="F203:P203" si="137">SUMIFS(F189:F197,$A189:$A197,$A189)</f>
        <v>0</v>
      </c>
      <c r="G203" s="17">
        <f t="shared" si="137"/>
        <v>1</v>
      </c>
      <c r="H203" s="17">
        <f t="shared" si="137"/>
        <v>1</v>
      </c>
      <c r="I203" s="17">
        <f t="shared" si="137"/>
        <v>1</v>
      </c>
      <c r="J203" s="17">
        <f t="shared" si="137"/>
        <v>1</v>
      </c>
      <c r="K203" s="17">
        <f t="shared" si="137"/>
        <v>1</v>
      </c>
      <c r="L203" s="17">
        <f t="shared" si="137"/>
        <v>1</v>
      </c>
      <c r="M203" s="17">
        <f t="shared" si="137"/>
        <v>1</v>
      </c>
      <c r="N203" s="17">
        <f t="shared" si="137"/>
        <v>1</v>
      </c>
      <c r="O203" s="17">
        <f t="shared" si="137"/>
        <v>1</v>
      </c>
      <c r="P203" s="17">
        <f t="shared" si="137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0</v>
      </c>
      <c r="F204" s="119">
        <f t="shared" ref="F204:P204" si="138">F197-F200-F202-F203</f>
        <v>0</v>
      </c>
      <c r="G204" s="119">
        <f t="shared" si="138"/>
        <v>0</v>
      </c>
      <c r="H204" s="119">
        <f t="shared" si="138"/>
        <v>1</v>
      </c>
      <c r="I204" s="119">
        <f t="shared" si="138"/>
        <v>1</v>
      </c>
      <c r="J204" s="119">
        <f t="shared" si="138"/>
        <v>1</v>
      </c>
      <c r="K204" s="119">
        <f t="shared" si="138"/>
        <v>1</v>
      </c>
      <c r="L204" s="119">
        <f t="shared" si="138"/>
        <v>1</v>
      </c>
      <c r="M204" s="119">
        <f t="shared" si="138"/>
        <v>1</v>
      </c>
      <c r="N204" s="119">
        <f t="shared" si="138"/>
        <v>1</v>
      </c>
      <c r="O204" s="119">
        <f t="shared" si="138"/>
        <v>1</v>
      </c>
      <c r="P204" s="119">
        <f t="shared" si="138"/>
        <v>1</v>
      </c>
    </row>
    <row r="205" spans="1:16" s="2" customFormat="1" x14ac:dyDescent="0.25">
      <c r="A205" s="8" t="s">
        <v>11</v>
      </c>
      <c r="E205" s="17">
        <f>SUM(E200:E204)</f>
        <v>0</v>
      </c>
      <c r="F205" s="17">
        <f t="shared" ref="F205:P205" si="139">SUM(F200:F204)</f>
        <v>0</v>
      </c>
      <c r="G205" s="17">
        <f t="shared" si="139"/>
        <v>2</v>
      </c>
      <c r="H205" s="17">
        <f t="shared" si="139"/>
        <v>4</v>
      </c>
      <c r="I205" s="17">
        <f t="shared" si="139"/>
        <v>4</v>
      </c>
      <c r="J205" s="17">
        <f t="shared" si="139"/>
        <v>4</v>
      </c>
      <c r="K205" s="17">
        <f t="shared" si="139"/>
        <v>4</v>
      </c>
      <c r="L205" s="17">
        <f t="shared" si="139"/>
        <v>4</v>
      </c>
      <c r="M205" s="17">
        <f t="shared" si="139"/>
        <v>4</v>
      </c>
      <c r="N205" s="17">
        <f t="shared" si="139"/>
        <v>4</v>
      </c>
      <c r="O205" s="17">
        <f t="shared" si="139"/>
        <v>4</v>
      </c>
      <c r="P205" s="17">
        <f t="shared" si="139"/>
        <v>4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22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7" si="140">A188</f>
        <v>6111EE</v>
      </c>
      <c r="B209" s="2" t="str">
        <f t="shared" si="140"/>
        <v>Educational Advising Coordinator (PERS = EE)</v>
      </c>
      <c r="C209" s="123"/>
      <c r="D209" s="85">
        <v>55000</v>
      </c>
      <c r="E209" s="10">
        <f t="shared" ref="E209:P217" si="141">E188*$D209*(1+E$5)</f>
        <v>0</v>
      </c>
      <c r="F209" s="10">
        <f t="shared" si="141"/>
        <v>0</v>
      </c>
      <c r="G209" s="10">
        <f t="shared" si="141"/>
        <v>0</v>
      </c>
      <c r="H209" s="10">
        <f t="shared" si="141"/>
        <v>0</v>
      </c>
      <c r="I209" s="10">
        <f t="shared" si="141"/>
        <v>0</v>
      </c>
      <c r="J209" s="10">
        <f t="shared" si="141"/>
        <v>0</v>
      </c>
      <c r="K209" s="10">
        <f t="shared" si="141"/>
        <v>0</v>
      </c>
      <c r="L209" s="10">
        <f t="shared" si="141"/>
        <v>0</v>
      </c>
      <c r="M209" s="10">
        <f t="shared" si="141"/>
        <v>0</v>
      </c>
      <c r="N209" s="10">
        <f t="shared" si="141"/>
        <v>0</v>
      </c>
      <c r="O209" s="10">
        <f t="shared" si="141"/>
        <v>0</v>
      </c>
      <c r="P209" s="10">
        <f t="shared" si="141"/>
        <v>0</v>
      </c>
    </row>
    <row r="210" spans="1:17" s="2" customFormat="1" x14ac:dyDescent="0.25">
      <c r="A210" s="2" t="str">
        <f>A189</f>
        <v>6114ER</v>
      </c>
      <c r="B210" s="2" t="str">
        <f t="shared" si="140"/>
        <v>Director of Site Administration (PERS = ER)</v>
      </c>
      <c r="C210" s="123"/>
      <c r="D210" s="85">
        <v>85000</v>
      </c>
      <c r="E210" s="10">
        <f t="shared" si="141"/>
        <v>0</v>
      </c>
      <c r="F210" s="10">
        <f t="shared" si="141"/>
        <v>0</v>
      </c>
      <c r="G210" s="10">
        <f t="shared" si="141"/>
        <v>88400</v>
      </c>
      <c r="H210" s="10">
        <f t="shared" si="141"/>
        <v>90100</v>
      </c>
      <c r="I210" s="10">
        <f t="shared" si="141"/>
        <v>91800</v>
      </c>
      <c r="J210" s="10">
        <f t="shared" si="141"/>
        <v>93500.000000000015</v>
      </c>
      <c r="K210" s="10">
        <f t="shared" si="141"/>
        <v>95200.000000000015</v>
      </c>
      <c r="L210" s="10">
        <f t="shared" si="141"/>
        <v>96900.000000000015</v>
      </c>
      <c r="M210" s="10">
        <f t="shared" si="141"/>
        <v>98600</v>
      </c>
      <c r="N210" s="10">
        <f t="shared" si="141"/>
        <v>100300</v>
      </c>
      <c r="O210" s="10">
        <f t="shared" si="141"/>
        <v>102000</v>
      </c>
      <c r="P210" s="10">
        <f t="shared" si="141"/>
        <v>103700</v>
      </c>
    </row>
    <row r="211" spans="1:17" s="2" customFormat="1" x14ac:dyDescent="0.25">
      <c r="A211" s="2" t="str">
        <f t="shared" si="140"/>
        <v>6117EE</v>
      </c>
      <c r="B211" s="2" t="str">
        <f>B190</f>
        <v>Office Manager (PERS = EE)</v>
      </c>
      <c r="C211" s="123"/>
      <c r="D211" s="85">
        <v>40000</v>
      </c>
      <c r="E211" s="10">
        <f t="shared" si="141"/>
        <v>0</v>
      </c>
      <c r="F211" s="10">
        <f t="shared" si="141"/>
        <v>0</v>
      </c>
      <c r="G211" s="10">
        <f t="shared" si="141"/>
        <v>0</v>
      </c>
      <c r="H211" s="10">
        <f t="shared" si="141"/>
        <v>42400</v>
      </c>
      <c r="I211" s="10">
        <f t="shared" si="141"/>
        <v>43200</v>
      </c>
      <c r="J211" s="10">
        <f t="shared" si="141"/>
        <v>44000</v>
      </c>
      <c r="K211" s="10">
        <f t="shared" si="141"/>
        <v>44800.000000000007</v>
      </c>
      <c r="L211" s="10">
        <f t="shared" si="141"/>
        <v>45600.000000000007</v>
      </c>
      <c r="M211" s="10">
        <f t="shared" si="141"/>
        <v>46400</v>
      </c>
      <c r="N211" s="10">
        <f t="shared" si="141"/>
        <v>47200</v>
      </c>
      <c r="O211" s="10">
        <f t="shared" si="141"/>
        <v>48000</v>
      </c>
      <c r="P211" s="10">
        <f t="shared" si="141"/>
        <v>48800</v>
      </c>
    </row>
    <row r="212" spans="1:17" s="2" customFormat="1" x14ac:dyDescent="0.25">
      <c r="A212" s="2">
        <f t="shared" si="140"/>
        <v>6127</v>
      </c>
      <c r="B212" s="2" t="str">
        <f t="shared" si="140"/>
        <v>Student Worker #1</v>
      </c>
      <c r="C212" s="164" t="s">
        <v>749</v>
      </c>
      <c r="D212" s="85">
        <v>4500</v>
      </c>
      <c r="E212" s="10">
        <f t="shared" si="141"/>
        <v>0</v>
      </c>
      <c r="F212" s="10">
        <f t="shared" si="141"/>
        <v>0</v>
      </c>
      <c r="G212" s="10">
        <f t="shared" si="141"/>
        <v>4680</v>
      </c>
      <c r="H212" s="10">
        <f t="shared" si="141"/>
        <v>4770</v>
      </c>
      <c r="I212" s="10">
        <f t="shared" si="141"/>
        <v>0</v>
      </c>
      <c r="J212" s="10">
        <f t="shared" si="141"/>
        <v>0</v>
      </c>
      <c r="K212" s="10">
        <f t="shared" si="141"/>
        <v>0</v>
      </c>
      <c r="L212" s="10">
        <f t="shared" si="141"/>
        <v>0</v>
      </c>
      <c r="M212" s="10">
        <f t="shared" si="141"/>
        <v>0</v>
      </c>
      <c r="N212" s="10">
        <f t="shared" si="141"/>
        <v>0</v>
      </c>
      <c r="O212" s="10">
        <f t="shared" si="141"/>
        <v>0</v>
      </c>
      <c r="P212" s="10">
        <f t="shared" si="141"/>
        <v>0</v>
      </c>
    </row>
    <row r="213" spans="1:17" s="2" customFormat="1" x14ac:dyDescent="0.25">
      <c r="A213" s="2">
        <f t="shared" si="140"/>
        <v>6127</v>
      </c>
      <c r="B213" s="2" t="str">
        <f t="shared" si="140"/>
        <v>Student Worker #2</v>
      </c>
      <c r="C213" s="164" t="s">
        <v>559</v>
      </c>
      <c r="D213" s="85">
        <v>12000</v>
      </c>
      <c r="E213" s="10">
        <f t="shared" si="141"/>
        <v>0</v>
      </c>
      <c r="F213" s="10">
        <f t="shared" si="141"/>
        <v>0</v>
      </c>
      <c r="G213" s="10">
        <f t="shared" si="141"/>
        <v>0</v>
      </c>
      <c r="H213" s="10">
        <f t="shared" si="141"/>
        <v>12720</v>
      </c>
      <c r="I213" s="10">
        <f t="shared" si="141"/>
        <v>25920</v>
      </c>
      <c r="J213" s="10">
        <f t="shared" si="141"/>
        <v>26400.000000000004</v>
      </c>
      <c r="K213" s="10">
        <f t="shared" si="141"/>
        <v>26880.000000000004</v>
      </c>
      <c r="L213" s="10">
        <f t="shared" si="141"/>
        <v>27360.000000000004</v>
      </c>
      <c r="M213" s="10">
        <f t="shared" si="141"/>
        <v>27839.999999999996</v>
      </c>
      <c r="N213" s="10">
        <f t="shared" si="141"/>
        <v>28320</v>
      </c>
      <c r="O213" s="10">
        <f t="shared" si="141"/>
        <v>28800</v>
      </c>
      <c r="P213" s="10">
        <f t="shared" si="141"/>
        <v>29280</v>
      </c>
    </row>
    <row r="214" spans="1:17" x14ac:dyDescent="0.25">
      <c r="A214">
        <f t="shared" si="140"/>
        <v>6127</v>
      </c>
      <c r="B214" t="str">
        <f t="shared" si="140"/>
        <v>Student Worker #3</v>
      </c>
      <c r="C214" s="123"/>
      <c r="D214" s="85">
        <v>0</v>
      </c>
      <c r="E214" s="48">
        <f t="shared" si="141"/>
        <v>0</v>
      </c>
      <c r="F214" s="48">
        <f t="shared" si="141"/>
        <v>0</v>
      </c>
      <c r="G214" s="48">
        <f t="shared" si="141"/>
        <v>0</v>
      </c>
      <c r="H214" s="48">
        <f t="shared" si="141"/>
        <v>0</v>
      </c>
      <c r="I214" s="48">
        <f t="shared" si="141"/>
        <v>0</v>
      </c>
      <c r="J214" s="48">
        <f t="shared" si="141"/>
        <v>0</v>
      </c>
      <c r="K214" s="48">
        <f t="shared" si="141"/>
        <v>0</v>
      </c>
      <c r="L214" s="48">
        <f t="shared" si="141"/>
        <v>0</v>
      </c>
      <c r="M214" s="48">
        <f t="shared" si="141"/>
        <v>0</v>
      </c>
      <c r="N214" s="48">
        <f t="shared" si="141"/>
        <v>0</v>
      </c>
      <c r="O214" s="48">
        <f t="shared" si="141"/>
        <v>0</v>
      </c>
      <c r="P214" s="48">
        <f t="shared" si="141"/>
        <v>0</v>
      </c>
    </row>
    <row r="215" spans="1:17" x14ac:dyDescent="0.25">
      <c r="A215">
        <f t="shared" si="140"/>
        <v>6127</v>
      </c>
      <c r="B215" t="str">
        <f t="shared" si="140"/>
        <v>Student Worker #4</v>
      </c>
      <c r="C215" s="123"/>
      <c r="D215" s="85">
        <v>0</v>
      </c>
      <c r="E215" s="75">
        <f t="shared" si="141"/>
        <v>0</v>
      </c>
      <c r="F215" s="75">
        <f t="shared" si="141"/>
        <v>0</v>
      </c>
      <c r="G215" s="75">
        <f t="shared" si="141"/>
        <v>0</v>
      </c>
      <c r="H215" s="75">
        <f t="shared" si="141"/>
        <v>0</v>
      </c>
      <c r="I215" s="75">
        <f t="shared" si="141"/>
        <v>0</v>
      </c>
      <c r="J215" s="75">
        <f t="shared" si="141"/>
        <v>0</v>
      </c>
      <c r="K215" s="75">
        <f t="shared" si="141"/>
        <v>0</v>
      </c>
      <c r="L215" s="75">
        <f t="shared" si="141"/>
        <v>0</v>
      </c>
      <c r="M215" s="75">
        <f t="shared" si="141"/>
        <v>0</v>
      </c>
      <c r="N215" s="75">
        <f t="shared" si="141"/>
        <v>0</v>
      </c>
      <c r="O215" s="75">
        <f t="shared" si="141"/>
        <v>0</v>
      </c>
      <c r="P215" s="75">
        <f t="shared" si="141"/>
        <v>0</v>
      </c>
    </row>
    <row r="216" spans="1:17" x14ac:dyDescent="0.25">
      <c r="A216">
        <f t="shared" si="140"/>
        <v>6127</v>
      </c>
      <c r="B216" t="str">
        <f t="shared" si="140"/>
        <v>Part-time Worker #1</v>
      </c>
      <c r="C216" s="123"/>
      <c r="D216" s="85">
        <v>0</v>
      </c>
      <c r="E216" s="75">
        <f t="shared" si="141"/>
        <v>0</v>
      </c>
      <c r="F216" s="75">
        <f t="shared" si="141"/>
        <v>0</v>
      </c>
      <c r="G216" s="75">
        <f t="shared" si="141"/>
        <v>0</v>
      </c>
      <c r="H216" s="75">
        <f t="shared" si="141"/>
        <v>0</v>
      </c>
      <c r="I216" s="75">
        <f t="shared" si="141"/>
        <v>0</v>
      </c>
      <c r="J216" s="75">
        <f t="shared" si="141"/>
        <v>0</v>
      </c>
      <c r="K216" s="75">
        <f t="shared" si="141"/>
        <v>0</v>
      </c>
      <c r="L216" s="75">
        <f t="shared" si="141"/>
        <v>0</v>
      </c>
      <c r="M216" s="75">
        <f t="shared" si="141"/>
        <v>0</v>
      </c>
      <c r="N216" s="75">
        <f t="shared" si="141"/>
        <v>0</v>
      </c>
      <c r="O216" s="75">
        <f t="shared" si="141"/>
        <v>0</v>
      </c>
      <c r="P216" s="75">
        <f t="shared" si="141"/>
        <v>0</v>
      </c>
    </row>
    <row r="217" spans="1:17" x14ac:dyDescent="0.25">
      <c r="A217">
        <f t="shared" si="140"/>
        <v>0</v>
      </c>
      <c r="B217" s="7" t="s">
        <v>397</v>
      </c>
      <c r="C217" s="76"/>
      <c r="D217" s="85">
        <v>0</v>
      </c>
      <c r="E217" s="49">
        <f t="shared" si="141"/>
        <v>0</v>
      </c>
      <c r="F217" s="49">
        <f t="shared" si="141"/>
        <v>0</v>
      </c>
      <c r="G217" s="49">
        <f t="shared" si="141"/>
        <v>0</v>
      </c>
      <c r="H217" s="49">
        <f t="shared" si="141"/>
        <v>0</v>
      </c>
      <c r="I217" s="49">
        <f t="shared" si="141"/>
        <v>0</v>
      </c>
      <c r="J217" s="49">
        <f t="shared" si="141"/>
        <v>0</v>
      </c>
      <c r="K217" s="49">
        <f t="shared" si="141"/>
        <v>0</v>
      </c>
      <c r="L217" s="49">
        <f t="shared" si="141"/>
        <v>0</v>
      </c>
      <c r="M217" s="49">
        <f t="shared" si="141"/>
        <v>0</v>
      </c>
      <c r="N217" s="49">
        <f t="shared" si="141"/>
        <v>0</v>
      </c>
      <c r="O217" s="49">
        <f t="shared" si="141"/>
        <v>0</v>
      </c>
      <c r="P217" s="49">
        <f t="shared" si="141"/>
        <v>0</v>
      </c>
    </row>
    <row r="218" spans="1:17" x14ac:dyDescent="0.25">
      <c r="C218" s="31"/>
      <c r="E218" s="48">
        <f t="shared" ref="E218:P218" si="142">SUM(E209:E217)</f>
        <v>0</v>
      </c>
      <c r="F218" s="48">
        <f t="shared" si="142"/>
        <v>0</v>
      </c>
      <c r="G218" s="48">
        <f t="shared" si="142"/>
        <v>93080</v>
      </c>
      <c r="H218" s="48">
        <f t="shared" si="142"/>
        <v>149990</v>
      </c>
      <c r="I218" s="48">
        <f t="shared" si="142"/>
        <v>160920</v>
      </c>
      <c r="J218" s="48">
        <f t="shared" si="142"/>
        <v>163900</v>
      </c>
      <c r="K218" s="48">
        <f t="shared" si="142"/>
        <v>166880.00000000003</v>
      </c>
      <c r="L218" s="48">
        <f t="shared" si="142"/>
        <v>169860.00000000003</v>
      </c>
      <c r="M218" s="48">
        <f t="shared" si="142"/>
        <v>172840</v>
      </c>
      <c r="N218" s="48">
        <f t="shared" si="142"/>
        <v>175820</v>
      </c>
      <c r="O218" s="48">
        <f t="shared" si="142"/>
        <v>178800</v>
      </c>
      <c r="P218" s="48">
        <f t="shared" si="142"/>
        <v>181780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748</v>
      </c>
      <c r="D222" s="2"/>
      <c r="E222" s="48">
        <v>0</v>
      </c>
      <c r="F222" s="48">
        <v>0</v>
      </c>
      <c r="G222" s="110">
        <v>3.5</v>
      </c>
      <c r="H222" s="155">
        <f>G222*1.03</f>
        <v>3.605</v>
      </c>
      <c r="I222" s="155">
        <f t="shared" ref="I222:P222" si="143">H222*1.03</f>
        <v>3.7131500000000002</v>
      </c>
      <c r="J222" s="155">
        <f t="shared" si="143"/>
        <v>3.8245445000000005</v>
      </c>
      <c r="K222" s="155">
        <f t="shared" si="143"/>
        <v>3.9392808350000004</v>
      </c>
      <c r="L222" s="155">
        <f t="shared" si="143"/>
        <v>4.0574592600500008</v>
      </c>
      <c r="M222" s="155">
        <f t="shared" si="143"/>
        <v>4.1791830378515007</v>
      </c>
      <c r="N222" s="155">
        <f t="shared" si="143"/>
        <v>4.3045585289870454</v>
      </c>
      <c r="O222" s="155">
        <f t="shared" si="143"/>
        <v>4.4336952848566566</v>
      </c>
      <c r="P222" s="155">
        <f t="shared" si="143"/>
        <v>4.5667061434023566</v>
      </c>
      <c r="Q222" s="155"/>
    </row>
    <row r="223" spans="1:17" x14ac:dyDescent="0.25">
      <c r="A223" s="16"/>
      <c r="B223" s="2" t="s">
        <v>461</v>
      </c>
      <c r="D223" s="2"/>
      <c r="E223" s="48">
        <v>0</v>
      </c>
      <c r="F223" s="48">
        <v>0</v>
      </c>
      <c r="G223" s="48">
        <v>1350</v>
      </c>
      <c r="H223" s="48">
        <f>G223</f>
        <v>1350</v>
      </c>
      <c r="I223" s="48">
        <f t="shared" ref="I223:P223" si="144">H223</f>
        <v>1350</v>
      </c>
      <c r="J223" s="48">
        <f t="shared" si="144"/>
        <v>1350</v>
      </c>
      <c r="K223" s="48">
        <f t="shared" si="144"/>
        <v>1350</v>
      </c>
      <c r="L223" s="48">
        <f t="shared" si="144"/>
        <v>1350</v>
      </c>
      <c r="M223" s="48">
        <f t="shared" si="144"/>
        <v>1350</v>
      </c>
      <c r="N223" s="48">
        <f t="shared" si="144"/>
        <v>1350</v>
      </c>
      <c r="O223" s="48">
        <f t="shared" si="144"/>
        <v>1350</v>
      </c>
      <c r="P223" s="48">
        <f t="shared" si="144"/>
        <v>1350</v>
      </c>
      <c r="Q223" s="10"/>
    </row>
    <row r="224" spans="1:17" x14ac:dyDescent="0.25">
      <c r="A224" s="2"/>
      <c r="B224" s="2" t="s">
        <v>462</v>
      </c>
      <c r="C224" s="31"/>
      <c r="E224" s="48">
        <v>0</v>
      </c>
      <c r="F224" s="48">
        <v>0</v>
      </c>
      <c r="G224" s="48">
        <f>G222*G223*12</f>
        <v>56700</v>
      </c>
      <c r="H224" s="48">
        <f>H222*H223*12</f>
        <v>58401</v>
      </c>
      <c r="I224" s="48">
        <f t="shared" ref="I224:P224" si="145">I222*I223*12</f>
        <v>60153.030000000006</v>
      </c>
      <c r="J224" s="48">
        <f t="shared" si="145"/>
        <v>61957.620900000009</v>
      </c>
      <c r="K224" s="48">
        <f t="shared" si="145"/>
        <v>63816.349527000013</v>
      </c>
      <c r="L224" s="48">
        <f t="shared" si="145"/>
        <v>65730.840012810018</v>
      </c>
      <c r="M224" s="48">
        <f t="shared" si="145"/>
        <v>67702.765213194303</v>
      </c>
      <c r="N224" s="48">
        <f t="shared" si="145"/>
        <v>69733.848169590143</v>
      </c>
      <c r="O224" s="48">
        <f t="shared" si="145"/>
        <v>71825.86361467783</v>
      </c>
      <c r="P224" s="48">
        <f t="shared" si="145"/>
        <v>73980.639523118181</v>
      </c>
      <c r="Q224" s="10"/>
    </row>
  </sheetData>
  <printOptions horizontalCentered="1"/>
  <pageMargins left="0.7" right="0.7" top="0.75" bottom="0.75" header="0.3" footer="0.3"/>
  <pageSetup paperSize="17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3"/>
  <sheetViews>
    <sheetView workbookViewId="0"/>
  </sheetViews>
  <sheetFormatPr defaultColWidth="8.85546875" defaultRowHeight="15" outlineLevelRow="1" x14ac:dyDescent="0.25"/>
  <cols>
    <col min="1" max="1" width="5" style="37" customWidth="1"/>
    <col min="2" max="2" width="50.85546875" customWidth="1"/>
    <col min="3" max="3" width="40.7109375" customWidth="1"/>
    <col min="4" max="4" width="9.140625" customWidth="1"/>
    <col min="5" max="5" width="20" style="44" customWidth="1"/>
    <col min="6" max="14" width="20" customWidth="1"/>
    <col min="15" max="19" width="15.7109375" customWidth="1"/>
  </cols>
  <sheetData>
    <row r="1" spans="1:17" x14ac:dyDescent="0.25">
      <c r="A1" s="30" t="str">
        <f>Assumptions!A1</f>
        <v>Nevada State High School's</v>
      </c>
    </row>
    <row r="2" spans="1:17" x14ac:dyDescent="0.25">
      <c r="A2" s="30" t="str">
        <f ca="1">RIGHT(CELL("filename",A1),LEN(CELL("filename",A1))-FIND("]",CELL("filename",A1)))</f>
        <v>Scrubbed #4 K-4</v>
      </c>
    </row>
    <row r="3" spans="1:17" x14ac:dyDescent="0.25">
      <c r="A3" s="30"/>
    </row>
    <row r="4" spans="1:17" x14ac:dyDescent="0.25">
      <c r="B4" t="s">
        <v>28</v>
      </c>
      <c r="E4" s="27"/>
      <c r="F4" s="27">
        <v>0</v>
      </c>
      <c r="G4" s="27">
        <v>0.02</v>
      </c>
      <c r="H4" s="27">
        <f t="shared" ref="H4:Q4" si="0">G4</f>
        <v>0.02</v>
      </c>
      <c r="I4" s="27">
        <f t="shared" si="0"/>
        <v>0.02</v>
      </c>
      <c r="J4" s="27">
        <f t="shared" si="0"/>
        <v>0.02</v>
      </c>
      <c r="K4" s="27">
        <f t="shared" si="0"/>
        <v>0.02</v>
      </c>
      <c r="L4" s="27">
        <f t="shared" si="0"/>
        <v>0.02</v>
      </c>
      <c r="M4" s="27">
        <f t="shared" si="0"/>
        <v>0.02</v>
      </c>
      <c r="N4" s="27">
        <f t="shared" si="0"/>
        <v>0.02</v>
      </c>
      <c r="O4" s="27">
        <f t="shared" si="0"/>
        <v>0.02</v>
      </c>
      <c r="P4" s="27">
        <f t="shared" si="0"/>
        <v>0.02</v>
      </c>
      <c r="Q4" s="27">
        <f t="shared" si="0"/>
        <v>0.02</v>
      </c>
    </row>
    <row r="5" spans="1:17" x14ac:dyDescent="0.25">
      <c r="B5" s="26" t="s">
        <v>88</v>
      </c>
      <c r="C5" s="26"/>
      <c r="E5" s="28"/>
      <c r="F5" s="28">
        <f>F4</f>
        <v>0</v>
      </c>
      <c r="G5" s="29">
        <f t="shared" ref="G5:Q5" si="1">G4+F5</f>
        <v>0.02</v>
      </c>
      <c r="H5" s="29">
        <f t="shared" si="1"/>
        <v>0.04</v>
      </c>
      <c r="I5" s="29">
        <f t="shared" si="1"/>
        <v>0.06</v>
      </c>
      <c r="J5" s="29">
        <f t="shared" si="1"/>
        <v>0.08</v>
      </c>
      <c r="K5" s="29">
        <f t="shared" si="1"/>
        <v>0.1</v>
      </c>
      <c r="L5" s="29">
        <f t="shared" si="1"/>
        <v>0.12000000000000001</v>
      </c>
      <c r="M5" s="29">
        <f t="shared" si="1"/>
        <v>0.14000000000000001</v>
      </c>
      <c r="N5" s="29">
        <f t="shared" si="1"/>
        <v>0.16</v>
      </c>
      <c r="O5" s="29">
        <f t="shared" si="1"/>
        <v>0.18</v>
      </c>
      <c r="P5" s="29">
        <f t="shared" si="1"/>
        <v>0.19999999999999998</v>
      </c>
      <c r="Q5" s="29">
        <f t="shared" si="1"/>
        <v>0.21999999999999997</v>
      </c>
    </row>
    <row r="6" spans="1:17" x14ac:dyDescent="0.25">
      <c r="B6" t="s">
        <v>51</v>
      </c>
      <c r="C6" s="26"/>
      <c r="E6" s="27"/>
      <c r="F6" s="27">
        <v>0</v>
      </c>
      <c r="G6" s="27">
        <v>0.04</v>
      </c>
      <c r="H6" s="27">
        <f t="shared" ref="H6:Q6" si="2">G6</f>
        <v>0.04</v>
      </c>
      <c r="I6" s="27">
        <f t="shared" si="2"/>
        <v>0.04</v>
      </c>
      <c r="J6" s="27">
        <f t="shared" si="2"/>
        <v>0.04</v>
      </c>
      <c r="K6" s="27">
        <f t="shared" si="2"/>
        <v>0.04</v>
      </c>
      <c r="L6" s="27">
        <f t="shared" si="2"/>
        <v>0.04</v>
      </c>
      <c r="M6" s="27">
        <f t="shared" si="2"/>
        <v>0.04</v>
      </c>
      <c r="N6" s="27">
        <f t="shared" si="2"/>
        <v>0.04</v>
      </c>
      <c r="O6" s="27">
        <f t="shared" si="2"/>
        <v>0.04</v>
      </c>
      <c r="P6" s="27">
        <f t="shared" si="2"/>
        <v>0.04</v>
      </c>
      <c r="Q6" s="27">
        <f t="shared" si="2"/>
        <v>0.04</v>
      </c>
    </row>
    <row r="7" spans="1:17" x14ac:dyDescent="0.25">
      <c r="B7" s="26" t="s">
        <v>88</v>
      </c>
      <c r="E7" s="28"/>
      <c r="F7" s="28">
        <f>F6</f>
        <v>0</v>
      </c>
      <c r="G7" s="29">
        <f t="shared" ref="G7:Q7" si="3">G6+F7</f>
        <v>0.04</v>
      </c>
      <c r="H7" s="29">
        <f t="shared" si="3"/>
        <v>0.08</v>
      </c>
      <c r="I7" s="29">
        <f t="shared" si="3"/>
        <v>0.12</v>
      </c>
      <c r="J7" s="29">
        <f t="shared" si="3"/>
        <v>0.16</v>
      </c>
      <c r="K7" s="29">
        <f t="shared" si="3"/>
        <v>0.2</v>
      </c>
      <c r="L7" s="29">
        <f t="shared" si="3"/>
        <v>0.24000000000000002</v>
      </c>
      <c r="M7" s="29">
        <f t="shared" si="3"/>
        <v>0.28000000000000003</v>
      </c>
      <c r="N7" s="29">
        <f t="shared" si="3"/>
        <v>0.32</v>
      </c>
      <c r="O7" s="29">
        <f t="shared" si="3"/>
        <v>0.36</v>
      </c>
      <c r="P7" s="29">
        <f t="shared" si="3"/>
        <v>0.39999999999999997</v>
      </c>
      <c r="Q7" s="29">
        <f t="shared" si="3"/>
        <v>0.43999999999999995</v>
      </c>
    </row>
    <row r="8" spans="1:17" x14ac:dyDescent="0.25">
      <c r="A8" s="71"/>
      <c r="B8" t="s">
        <v>50</v>
      </c>
      <c r="E8" s="27"/>
      <c r="F8" s="27">
        <v>0</v>
      </c>
      <c r="G8" s="27">
        <v>0.02</v>
      </c>
      <c r="H8" s="27">
        <f t="shared" ref="H8:Q8" si="4">G8</f>
        <v>0.02</v>
      </c>
      <c r="I8" s="27">
        <f t="shared" si="4"/>
        <v>0.02</v>
      </c>
      <c r="J8" s="27">
        <f t="shared" si="4"/>
        <v>0.02</v>
      </c>
      <c r="K8" s="27">
        <f t="shared" si="4"/>
        <v>0.02</v>
      </c>
      <c r="L8" s="27">
        <f t="shared" si="4"/>
        <v>0.02</v>
      </c>
      <c r="M8" s="27">
        <f t="shared" si="4"/>
        <v>0.02</v>
      </c>
      <c r="N8" s="27">
        <f t="shared" si="4"/>
        <v>0.02</v>
      </c>
      <c r="O8" s="27">
        <f t="shared" si="4"/>
        <v>0.02</v>
      </c>
      <c r="P8" s="27">
        <f t="shared" si="4"/>
        <v>0.02</v>
      </c>
      <c r="Q8" s="27">
        <f t="shared" si="4"/>
        <v>0.02</v>
      </c>
    </row>
    <row r="9" spans="1:17" x14ac:dyDescent="0.25">
      <c r="A9" s="71"/>
      <c r="B9" s="26" t="s">
        <v>88</v>
      </c>
      <c r="E9" s="28"/>
      <c r="F9" s="28">
        <f>F8</f>
        <v>0</v>
      </c>
      <c r="G9" s="29">
        <f t="shared" ref="G9:Q9" si="5">G8+F9</f>
        <v>0.02</v>
      </c>
      <c r="H9" s="29">
        <f t="shared" si="5"/>
        <v>0.04</v>
      </c>
      <c r="I9" s="29">
        <f t="shared" si="5"/>
        <v>0.06</v>
      </c>
      <c r="J9" s="29">
        <f t="shared" si="5"/>
        <v>0.08</v>
      </c>
      <c r="K9" s="29">
        <f t="shared" si="5"/>
        <v>0.1</v>
      </c>
      <c r="L9" s="29">
        <f t="shared" si="5"/>
        <v>0.12000000000000001</v>
      </c>
      <c r="M9" s="29">
        <f t="shared" si="5"/>
        <v>0.14000000000000001</v>
      </c>
      <c r="N9" s="29">
        <f t="shared" si="5"/>
        <v>0.16</v>
      </c>
      <c r="O9" s="29">
        <f t="shared" si="5"/>
        <v>0.18</v>
      </c>
      <c r="P9" s="29">
        <f t="shared" si="5"/>
        <v>0.19999999999999998</v>
      </c>
      <c r="Q9" s="29">
        <f t="shared" si="5"/>
        <v>0.21999999999999997</v>
      </c>
    </row>
    <row r="10" spans="1:17" x14ac:dyDescent="0.25">
      <c r="B10" s="26"/>
      <c r="C10" s="26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5">
      <c r="A11" s="71"/>
      <c r="B11" s="18" t="s">
        <v>140</v>
      </c>
      <c r="E11" s="65">
        <v>0.95</v>
      </c>
      <c r="F11" s="65">
        <v>0.95</v>
      </c>
      <c r="G11" s="64">
        <f t="shared" ref="G11:J12" si="6">F11</f>
        <v>0.95</v>
      </c>
      <c r="H11" s="64">
        <f t="shared" si="6"/>
        <v>0.95</v>
      </c>
      <c r="I11" s="64">
        <f t="shared" si="6"/>
        <v>0.95</v>
      </c>
      <c r="J11" s="64">
        <f t="shared" si="6"/>
        <v>0.95</v>
      </c>
      <c r="K11" s="64">
        <f t="shared" ref="K11:Q14" si="7">J11</f>
        <v>0.95</v>
      </c>
      <c r="L11" s="64">
        <f t="shared" si="7"/>
        <v>0.95</v>
      </c>
      <c r="M11" s="64">
        <f t="shared" si="7"/>
        <v>0.95</v>
      </c>
      <c r="N11" s="64">
        <f t="shared" si="7"/>
        <v>0.95</v>
      </c>
      <c r="O11" s="64">
        <f t="shared" si="7"/>
        <v>0.95</v>
      </c>
      <c r="P11" s="64">
        <f t="shared" si="7"/>
        <v>0.95</v>
      </c>
      <c r="Q11" s="64">
        <f t="shared" si="7"/>
        <v>0.95</v>
      </c>
    </row>
    <row r="12" spans="1:17" x14ac:dyDescent="0.25">
      <c r="A12" s="71"/>
      <c r="B12" t="s">
        <v>141</v>
      </c>
      <c r="E12" s="65">
        <v>0.7</v>
      </c>
      <c r="F12" s="65">
        <f>E12</f>
        <v>0.7</v>
      </c>
      <c r="G12" s="64">
        <f t="shared" si="6"/>
        <v>0.7</v>
      </c>
      <c r="H12" s="64">
        <f t="shared" si="6"/>
        <v>0.7</v>
      </c>
      <c r="I12" s="64">
        <f t="shared" si="6"/>
        <v>0.7</v>
      </c>
      <c r="J12" s="64">
        <f t="shared" si="6"/>
        <v>0.7</v>
      </c>
      <c r="K12" s="64">
        <f t="shared" si="7"/>
        <v>0.7</v>
      </c>
      <c r="L12" s="64">
        <f t="shared" si="7"/>
        <v>0.7</v>
      </c>
      <c r="M12" s="64">
        <f t="shared" si="7"/>
        <v>0.7</v>
      </c>
      <c r="N12" s="64">
        <f t="shared" si="7"/>
        <v>0.7</v>
      </c>
      <c r="O12" s="64">
        <f t="shared" si="7"/>
        <v>0.7</v>
      </c>
      <c r="P12" s="64">
        <f t="shared" si="7"/>
        <v>0.7</v>
      </c>
      <c r="Q12" s="64">
        <f t="shared" si="7"/>
        <v>0.7</v>
      </c>
    </row>
    <row r="13" spans="1:17" x14ac:dyDescent="0.25">
      <c r="A13" s="71"/>
      <c r="B13" s="18" t="s">
        <v>142</v>
      </c>
      <c r="E13" s="65">
        <v>0.96</v>
      </c>
      <c r="F13" s="65">
        <v>0.96</v>
      </c>
      <c r="G13" s="64">
        <f t="shared" ref="G13:J14" si="8">F13</f>
        <v>0.96</v>
      </c>
      <c r="H13" s="64">
        <f t="shared" si="8"/>
        <v>0.96</v>
      </c>
      <c r="I13" s="64">
        <f t="shared" si="8"/>
        <v>0.96</v>
      </c>
      <c r="J13" s="64">
        <f t="shared" si="8"/>
        <v>0.96</v>
      </c>
      <c r="K13" s="64">
        <f t="shared" si="7"/>
        <v>0.96</v>
      </c>
      <c r="L13" s="64">
        <f t="shared" si="7"/>
        <v>0.96</v>
      </c>
      <c r="M13" s="64">
        <f t="shared" si="7"/>
        <v>0.96</v>
      </c>
      <c r="N13" s="64">
        <f t="shared" si="7"/>
        <v>0.96</v>
      </c>
      <c r="O13" s="64">
        <f t="shared" si="7"/>
        <v>0.96</v>
      </c>
      <c r="P13" s="64">
        <f t="shared" si="7"/>
        <v>0.96</v>
      </c>
      <c r="Q13" s="64">
        <f t="shared" si="7"/>
        <v>0.96</v>
      </c>
    </row>
    <row r="14" spans="1:17" x14ac:dyDescent="0.25">
      <c r="A14" s="71"/>
      <c r="B14" s="18" t="s">
        <v>143</v>
      </c>
      <c r="E14" s="65">
        <v>0.75</v>
      </c>
      <c r="F14" s="65">
        <f>E14</f>
        <v>0.75</v>
      </c>
      <c r="G14" s="64">
        <f t="shared" si="8"/>
        <v>0.75</v>
      </c>
      <c r="H14" s="64">
        <f t="shared" si="8"/>
        <v>0.75</v>
      </c>
      <c r="I14" s="64">
        <f t="shared" si="8"/>
        <v>0.75</v>
      </c>
      <c r="J14" s="64">
        <f t="shared" si="8"/>
        <v>0.75</v>
      </c>
      <c r="K14" s="64">
        <f t="shared" si="7"/>
        <v>0.75</v>
      </c>
      <c r="L14" s="64">
        <f t="shared" si="7"/>
        <v>0.75</v>
      </c>
      <c r="M14" s="64">
        <f t="shared" si="7"/>
        <v>0.75</v>
      </c>
      <c r="N14" s="64">
        <f t="shared" si="7"/>
        <v>0.75</v>
      </c>
      <c r="O14" s="64">
        <f t="shared" si="7"/>
        <v>0.75</v>
      </c>
      <c r="P14" s="64">
        <f t="shared" si="7"/>
        <v>0.75</v>
      </c>
      <c r="Q14" s="64">
        <f t="shared" si="7"/>
        <v>0.75</v>
      </c>
    </row>
    <row r="15" spans="1:17" x14ac:dyDescent="0.25">
      <c r="A15" s="71"/>
      <c r="B15" s="18" t="s">
        <v>144</v>
      </c>
      <c r="E15" s="31">
        <f t="shared" ref="E15:Q15" si="9">E11*E$186</f>
        <v>0</v>
      </c>
      <c r="F15" s="31" t="e">
        <f t="shared" si="9"/>
        <v>#REF!</v>
      </c>
      <c r="G15" s="31" t="e">
        <f t="shared" si="9"/>
        <v>#REF!</v>
      </c>
      <c r="H15" s="31" t="e">
        <f t="shared" si="9"/>
        <v>#REF!</v>
      </c>
      <c r="I15" s="31" t="e">
        <f t="shared" si="9"/>
        <v>#REF!</v>
      </c>
      <c r="J15" s="31" t="e">
        <f t="shared" si="9"/>
        <v>#REF!</v>
      </c>
      <c r="K15" s="31" t="e">
        <f t="shared" si="9"/>
        <v>#REF!</v>
      </c>
      <c r="L15" s="31" t="e">
        <f t="shared" si="9"/>
        <v>#REF!</v>
      </c>
      <c r="M15" s="31" t="e">
        <f t="shared" si="9"/>
        <v>#REF!</v>
      </c>
      <c r="N15" s="31" t="e">
        <f t="shared" si="9"/>
        <v>#REF!</v>
      </c>
      <c r="O15" s="31" t="e">
        <f t="shared" si="9"/>
        <v>#REF!</v>
      </c>
      <c r="P15" s="31" t="e">
        <f t="shared" si="9"/>
        <v>#REF!</v>
      </c>
      <c r="Q15" s="31" t="e">
        <f t="shared" si="9"/>
        <v>#REF!</v>
      </c>
    </row>
    <row r="16" spans="1:17" x14ac:dyDescent="0.25">
      <c r="A16" s="71"/>
      <c r="B16" s="18" t="s">
        <v>145</v>
      </c>
      <c r="E16" s="31">
        <f>+E15*E12</f>
        <v>0</v>
      </c>
      <c r="F16" s="31" t="e">
        <f t="shared" ref="F16:Q16" si="10">+F15*F12</f>
        <v>#REF!</v>
      </c>
      <c r="G16" s="31" t="e">
        <f t="shared" si="10"/>
        <v>#REF!</v>
      </c>
      <c r="H16" s="31" t="e">
        <f t="shared" si="10"/>
        <v>#REF!</v>
      </c>
      <c r="I16" s="31" t="e">
        <f t="shared" si="10"/>
        <v>#REF!</v>
      </c>
      <c r="J16" s="31" t="e">
        <f t="shared" si="10"/>
        <v>#REF!</v>
      </c>
      <c r="K16" s="31" t="e">
        <f t="shared" si="10"/>
        <v>#REF!</v>
      </c>
      <c r="L16" s="31" t="e">
        <f t="shared" si="10"/>
        <v>#REF!</v>
      </c>
      <c r="M16" s="31" t="e">
        <f t="shared" si="10"/>
        <v>#REF!</v>
      </c>
      <c r="N16" s="31" t="e">
        <f t="shared" si="10"/>
        <v>#REF!</v>
      </c>
      <c r="O16" s="31" t="e">
        <f t="shared" si="10"/>
        <v>#REF!</v>
      </c>
      <c r="P16" s="31" t="e">
        <f t="shared" si="10"/>
        <v>#REF!</v>
      </c>
      <c r="Q16" s="31" t="e">
        <f t="shared" si="10"/>
        <v>#REF!</v>
      </c>
    </row>
    <row r="17" spans="1:28" x14ac:dyDescent="0.25">
      <c r="A17" s="71"/>
      <c r="B17" s="18" t="s">
        <v>146</v>
      </c>
      <c r="E17" s="31">
        <f t="shared" ref="E17:Q17" si="11">E13*E186</f>
        <v>0</v>
      </c>
      <c r="F17" s="31" t="e">
        <f t="shared" si="11"/>
        <v>#REF!</v>
      </c>
      <c r="G17" s="31" t="e">
        <f t="shared" si="11"/>
        <v>#REF!</v>
      </c>
      <c r="H17" s="31" t="e">
        <f t="shared" si="11"/>
        <v>#REF!</v>
      </c>
      <c r="I17" s="31" t="e">
        <f t="shared" si="11"/>
        <v>#REF!</v>
      </c>
      <c r="J17" s="31" t="e">
        <f t="shared" si="11"/>
        <v>#REF!</v>
      </c>
      <c r="K17" s="31" t="e">
        <f t="shared" si="11"/>
        <v>#REF!</v>
      </c>
      <c r="L17" s="31" t="e">
        <f t="shared" si="11"/>
        <v>#REF!</v>
      </c>
      <c r="M17" s="31" t="e">
        <f t="shared" si="11"/>
        <v>#REF!</v>
      </c>
      <c r="N17" s="31" t="e">
        <f t="shared" si="11"/>
        <v>#REF!</v>
      </c>
      <c r="O17" s="31" t="e">
        <f t="shared" si="11"/>
        <v>#REF!</v>
      </c>
      <c r="P17" s="31" t="e">
        <f t="shared" si="11"/>
        <v>#REF!</v>
      </c>
      <c r="Q17" s="31" t="e">
        <f t="shared" si="11"/>
        <v>#REF!</v>
      </c>
    </row>
    <row r="18" spans="1:28" x14ac:dyDescent="0.25">
      <c r="A18" s="71"/>
      <c r="B18" s="18" t="s">
        <v>147</v>
      </c>
      <c r="E18" s="31">
        <f t="shared" ref="E18:Q18" si="12">E14*E186</f>
        <v>0</v>
      </c>
      <c r="F18" s="31" t="e">
        <f t="shared" si="12"/>
        <v>#REF!</v>
      </c>
      <c r="G18" s="31" t="e">
        <f t="shared" si="12"/>
        <v>#REF!</v>
      </c>
      <c r="H18" s="31" t="e">
        <f t="shared" si="12"/>
        <v>#REF!</v>
      </c>
      <c r="I18" s="31" t="e">
        <f t="shared" si="12"/>
        <v>#REF!</v>
      </c>
      <c r="J18" s="31" t="e">
        <f t="shared" si="12"/>
        <v>#REF!</v>
      </c>
      <c r="K18" s="31" t="e">
        <f t="shared" si="12"/>
        <v>#REF!</v>
      </c>
      <c r="L18" s="31" t="e">
        <f t="shared" si="12"/>
        <v>#REF!</v>
      </c>
      <c r="M18" s="31" t="e">
        <f t="shared" si="12"/>
        <v>#REF!</v>
      </c>
      <c r="N18" s="31" t="e">
        <f t="shared" si="12"/>
        <v>#REF!</v>
      </c>
      <c r="O18" s="31" t="e">
        <f t="shared" si="12"/>
        <v>#REF!</v>
      </c>
      <c r="P18" s="31" t="e">
        <f t="shared" si="12"/>
        <v>#REF!</v>
      </c>
      <c r="Q18" s="31" t="e">
        <f t="shared" si="12"/>
        <v>#REF!</v>
      </c>
    </row>
    <row r="19" spans="1:28" x14ac:dyDescent="0.25">
      <c r="B19" s="26"/>
      <c r="C19" s="26"/>
      <c r="E19" s="28"/>
      <c r="F19" s="29"/>
      <c r="G19" s="29"/>
      <c r="H19" s="29"/>
      <c r="I19" s="29"/>
      <c r="J19" s="29"/>
      <c r="K19" s="29"/>
      <c r="L19" s="29"/>
      <c r="M19" s="29"/>
      <c r="N19" s="29"/>
    </row>
    <row r="20" spans="1:28" x14ac:dyDescent="0.25">
      <c r="B20" s="26"/>
      <c r="C20" s="26"/>
      <c r="E20" s="28"/>
      <c r="F20" s="29"/>
      <c r="G20" s="29"/>
      <c r="H20" s="29"/>
      <c r="I20" s="29"/>
      <c r="J20" s="29"/>
      <c r="K20" s="29"/>
      <c r="L20" s="29"/>
      <c r="M20" s="29"/>
      <c r="N20" s="29"/>
    </row>
    <row r="21" spans="1:28" x14ac:dyDescent="0.25">
      <c r="A21" s="4" t="s">
        <v>24</v>
      </c>
      <c r="B21" s="4" t="s">
        <v>25</v>
      </c>
      <c r="C21" s="4"/>
      <c r="D21" s="41"/>
      <c r="E21"/>
      <c r="F21" s="3" t="s">
        <v>0</v>
      </c>
      <c r="G21" s="21" t="s">
        <v>1</v>
      </c>
      <c r="H21" s="22" t="s">
        <v>2</v>
      </c>
      <c r="I21" s="3" t="s">
        <v>3</v>
      </c>
      <c r="J21" s="3" t="s">
        <v>4</v>
      </c>
      <c r="K21" s="4" t="s">
        <v>5</v>
      </c>
      <c r="L21" s="4" t="s">
        <v>61</v>
      </c>
      <c r="M21" s="4" t="s">
        <v>62</v>
      </c>
      <c r="N21" s="4" t="s">
        <v>63</v>
      </c>
      <c r="O21" s="4" t="s">
        <v>64</v>
      </c>
      <c r="P21" s="4" t="s">
        <v>65</v>
      </c>
      <c r="Q21" s="4" t="s">
        <v>66</v>
      </c>
    </row>
    <row r="22" spans="1:28" x14ac:dyDescent="0.25">
      <c r="A22" s="30" t="s">
        <v>148</v>
      </c>
      <c r="B22" s="26"/>
      <c r="E22"/>
      <c r="F22" s="28"/>
      <c r="G22" s="29"/>
      <c r="H22" s="29"/>
      <c r="I22" s="29"/>
      <c r="J22" s="29"/>
      <c r="K22" s="29"/>
    </row>
    <row r="23" spans="1:28" s="2" customFormat="1" x14ac:dyDescent="0.25">
      <c r="A23" s="16"/>
      <c r="B23" s="2" t="s">
        <v>137</v>
      </c>
      <c r="F23" s="6" t="e">
        <f>((Revenue!#REF!*F$11*SUM(F$173:F$176))+(Revenue!#REF!*F$11*SUM(F$177:F$178))-F24)</f>
        <v>#REF!</v>
      </c>
      <c r="G23" s="6" t="e">
        <f>((Revenue!#REF!*G$11*SUM(G$173:G$176))+(Revenue!#REF!*G$11*SUM(G$177:G$178))-G24)</f>
        <v>#REF!</v>
      </c>
      <c r="H23" s="6" t="e">
        <f>((Revenue!#REF!*H$11*SUM(H$173:H$176))+(Revenue!#REF!*H$11*SUM(H$177:H$178))-H24)</f>
        <v>#REF!</v>
      </c>
      <c r="I23" s="6" t="e">
        <f>((Revenue!#REF!*I$11*SUM(I$173:I$176))+(Revenue!#REF!*I$11*SUM(I$177:I$178))-I24)</f>
        <v>#REF!</v>
      </c>
      <c r="J23" s="6" t="e">
        <f>((Revenue!#REF!*J$11*SUM(J$173:J$176))+(Revenue!#REF!*J$11*SUM(J$177:J$178))-J24)</f>
        <v>#REF!</v>
      </c>
      <c r="K23" s="6" t="e">
        <f>((Revenue!#REF!*K$11*SUM(K$173:K$176))+(Revenue!#REF!*K$11*SUM(K$177:K$178))-K24)</f>
        <v>#REF!</v>
      </c>
      <c r="L23" s="6" t="e">
        <f>((Revenue!#REF!*L$11*SUM(L$173:L$176))+(Revenue!#REF!*L$11*SUM(L$177:L$178))-L24)</f>
        <v>#REF!</v>
      </c>
      <c r="M23" s="6" t="e">
        <f>((Revenue!#REF!*M$11*SUM(M$173:M$176))+(Revenue!#REF!*M$11*SUM(M$177:M$178))-M24)</f>
        <v>#REF!</v>
      </c>
      <c r="N23" s="6" t="e">
        <f>((Revenue!#REF!*N$11*SUM(N$173:N$176))+(Revenue!#REF!*N$11*SUM(N$177:N$178))-N24)</f>
        <v>#REF!</v>
      </c>
      <c r="O23" s="6" t="e">
        <f>((Revenue!#REF!*O$11*SUM(O$173:O$176))+(Revenue!#REF!*O$11*SUM(O$177:O$178))-O24)</f>
        <v>#REF!</v>
      </c>
      <c r="P23" s="6" t="e">
        <f>((Revenue!#REF!*P$11*SUM(P$173:P$176))+(Revenue!#REF!*P$11*SUM(P$177:P$178))-P24)</f>
        <v>#REF!</v>
      </c>
      <c r="Q23" s="6" t="e">
        <f>((Revenue!#REF!*Q$11*SUM(Q$173:Q$176))+(Revenue!#REF!*Q$11*SUM(Q$177:Q$178))-Q24)</f>
        <v>#REF!</v>
      </c>
      <c r="R23" s="107"/>
    </row>
    <row r="24" spans="1:28" s="2" customFormat="1" x14ac:dyDescent="0.25">
      <c r="A24" s="16"/>
      <c r="B24" s="2" t="s">
        <v>136</v>
      </c>
      <c r="F24" s="32" t="e">
        <f>((Revenue!#REF!*F$11*SUM(F$173:F$176))+(Revenue!#REF!*F$11*SUM(F$177:F$178)))</f>
        <v>#REF!</v>
      </c>
      <c r="G24" s="32" t="e">
        <f>((Revenue!#REF!*G$11*SUM(G$173:G$176))+(Revenue!#REF!*G$11*SUM(G$177:G$178)))</f>
        <v>#REF!</v>
      </c>
      <c r="H24" s="32" t="e">
        <f>((Revenue!#REF!*H$11*SUM(H$173:H$176))+(Revenue!#REF!*H$11*SUM(H$177:H$178)))</f>
        <v>#REF!</v>
      </c>
      <c r="I24" s="32" t="e">
        <f>((Revenue!#REF!*I$11*SUM(I$173:I$176))+(Revenue!#REF!*I$11*SUM(I$177:I$178)))</f>
        <v>#REF!</v>
      </c>
      <c r="J24" s="32" t="e">
        <f>((Revenue!#REF!*J$11*SUM(J$173:J$176))+(Revenue!#REF!*J$11*SUM(J$177:J$178)))</f>
        <v>#REF!</v>
      </c>
      <c r="K24" s="32" t="e">
        <f>((Revenue!#REF!*K$11*SUM(K$173:K$176))+(Revenue!#REF!*K$11*SUM(K$177:K$178)))</f>
        <v>#REF!</v>
      </c>
      <c r="L24" s="32" t="e">
        <f>((Revenue!#REF!*L$11*SUM(L$173:L$176))+(Revenue!#REF!*L$11*SUM(L$177:L$178)))</f>
        <v>#REF!</v>
      </c>
      <c r="M24" s="32" t="e">
        <f>((Revenue!#REF!*M$11*SUM(M$173:M$176))+(Revenue!#REF!*M$11*SUM(M$177:M$178)))</f>
        <v>#REF!</v>
      </c>
      <c r="N24" s="32" t="e">
        <f>((Revenue!#REF!*N$11*SUM(N$173:N$176))+(Revenue!#REF!*N$11*SUM(N$177:N$178)))</f>
        <v>#REF!</v>
      </c>
      <c r="O24" s="32" t="e">
        <f>((Revenue!#REF!*O$11*SUM(O$173:O$176))+(Revenue!#REF!*O$11*SUM(O$177:O$178)))</f>
        <v>#REF!</v>
      </c>
      <c r="P24" s="32" t="e">
        <f>((Revenue!#REF!*P$11*SUM(P$173:P$176))+(Revenue!#REF!*P$11*SUM(P$177:P$178)))</f>
        <v>#REF!</v>
      </c>
      <c r="Q24" s="32" t="e">
        <f>((Revenue!#REF!*Q$11*SUM(Q$173:Q$176))+(Revenue!#REF!*Q$11*SUM(Q$177:Q$178)))</f>
        <v>#REF!</v>
      </c>
      <c r="R24" s="107"/>
    </row>
    <row r="25" spans="1:28" s="2" customFormat="1" x14ac:dyDescent="0.25">
      <c r="A25" s="16"/>
      <c r="B25" s="16" t="s">
        <v>213</v>
      </c>
      <c r="F25" s="6" t="e">
        <f t="shared" ref="F25:Q25" si="13">SUM(F23:F24)</f>
        <v>#REF!</v>
      </c>
      <c r="G25" s="6" t="e">
        <f t="shared" si="13"/>
        <v>#REF!</v>
      </c>
      <c r="H25" s="6" t="e">
        <f t="shared" si="13"/>
        <v>#REF!</v>
      </c>
      <c r="I25" s="6" t="e">
        <f t="shared" si="13"/>
        <v>#REF!</v>
      </c>
      <c r="J25" s="6" t="e">
        <f t="shared" si="13"/>
        <v>#REF!</v>
      </c>
      <c r="K25" s="6" t="e">
        <f t="shared" si="13"/>
        <v>#REF!</v>
      </c>
      <c r="L25" s="6" t="e">
        <f t="shared" si="13"/>
        <v>#REF!</v>
      </c>
      <c r="M25" s="6" t="e">
        <f t="shared" si="13"/>
        <v>#REF!</v>
      </c>
      <c r="N25" s="6" t="e">
        <f t="shared" si="13"/>
        <v>#REF!</v>
      </c>
      <c r="O25" s="6" t="e">
        <f t="shared" si="13"/>
        <v>#REF!</v>
      </c>
      <c r="P25" s="6" t="e">
        <f t="shared" si="13"/>
        <v>#REF!</v>
      </c>
      <c r="Q25" s="6" t="e">
        <f t="shared" si="13"/>
        <v>#REF!</v>
      </c>
      <c r="R25" s="107"/>
    </row>
    <row r="26" spans="1:28" s="6" customFormat="1" x14ac:dyDescent="0.25">
      <c r="A26" s="121" t="s">
        <v>156</v>
      </c>
      <c r="B26" s="122"/>
      <c r="R26" s="107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6" customFormat="1" x14ac:dyDescent="0.25">
      <c r="A27" s="121"/>
      <c r="B27" s="123" t="s">
        <v>209</v>
      </c>
      <c r="F27" s="6" t="e">
        <f>F15*Revenue!D17</f>
        <v>#REF!</v>
      </c>
      <c r="G27" s="6" t="e">
        <f>G15*Revenue!E17</f>
        <v>#REF!</v>
      </c>
      <c r="H27" s="6" t="e">
        <f>H15*Revenue!F17</f>
        <v>#REF!</v>
      </c>
      <c r="I27" s="6" t="e">
        <f>I15*Revenue!G17</f>
        <v>#REF!</v>
      </c>
      <c r="J27" s="6" t="e">
        <f>J15*Revenue!H17</f>
        <v>#REF!</v>
      </c>
      <c r="K27" s="6" t="e">
        <f>K15*Revenue!I17</f>
        <v>#REF!</v>
      </c>
      <c r="L27" s="6" t="e">
        <f>L15*Revenue!J17</f>
        <v>#REF!</v>
      </c>
      <c r="M27" s="6" t="e">
        <f>M15*Revenue!K17</f>
        <v>#REF!</v>
      </c>
      <c r="N27" s="6" t="e">
        <f>N15*Revenue!L17</f>
        <v>#REF!</v>
      </c>
      <c r="O27" s="6" t="e">
        <f>O15*Revenue!M17</f>
        <v>#REF!</v>
      </c>
      <c r="P27" s="6" t="e">
        <f>P15*Revenue!N17</f>
        <v>#REF!</v>
      </c>
      <c r="Q27" s="6" t="e">
        <f>Q15*Revenue!O17</f>
        <v>#REF!</v>
      </c>
      <c r="R27" s="107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6" customFormat="1" x14ac:dyDescent="0.25">
      <c r="A28" s="121"/>
      <c r="B28" s="6" t="s">
        <v>151</v>
      </c>
      <c r="F28" s="6" t="e">
        <f>F$15*Revenue!D$18</f>
        <v>#REF!</v>
      </c>
      <c r="G28" s="6" t="e">
        <f>G$15*Revenue!E$18</f>
        <v>#REF!</v>
      </c>
      <c r="H28" s="6" t="e">
        <f>H$15*Revenue!F$18</f>
        <v>#REF!</v>
      </c>
      <c r="I28" s="6" t="e">
        <f>I$15*Revenue!G$18</f>
        <v>#REF!</v>
      </c>
      <c r="J28" s="6" t="e">
        <f>J$15*Revenue!H$18</f>
        <v>#REF!</v>
      </c>
      <c r="K28" s="6" t="e">
        <f>K$15*Revenue!I$18</f>
        <v>#REF!</v>
      </c>
      <c r="L28" s="6" t="e">
        <f>L$15*Revenue!J$18</f>
        <v>#REF!</v>
      </c>
      <c r="M28" s="6" t="e">
        <f>M$15*Revenue!K$18</f>
        <v>#REF!</v>
      </c>
      <c r="N28" s="6" t="e">
        <f>N$15*Revenue!L$18</f>
        <v>#REF!</v>
      </c>
      <c r="O28" s="6" t="e">
        <f>O$15*Revenue!M$18</f>
        <v>#REF!</v>
      </c>
      <c r="P28" s="6" t="e">
        <f>P$15*Revenue!N$18</f>
        <v>#REF!</v>
      </c>
      <c r="Q28" s="6" t="e">
        <f>Q$15*Revenue!O$18</f>
        <v>#REF!</v>
      </c>
      <c r="R28" s="107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6" customFormat="1" x14ac:dyDescent="0.25">
      <c r="A29" s="121"/>
      <c r="B29" s="6" t="s">
        <v>152</v>
      </c>
      <c r="F29" s="6" t="e">
        <f>F$15*Revenue!D$19</f>
        <v>#REF!</v>
      </c>
      <c r="G29" s="6" t="e">
        <f>G$15*Revenue!E$19</f>
        <v>#REF!</v>
      </c>
      <c r="H29" s="6" t="e">
        <f>H$15*Revenue!F$19</f>
        <v>#REF!</v>
      </c>
      <c r="I29" s="6" t="e">
        <f>I$15*Revenue!G$19</f>
        <v>#REF!</v>
      </c>
      <c r="J29" s="6" t="e">
        <f>J$15*Revenue!H$19</f>
        <v>#REF!</v>
      </c>
      <c r="K29" s="6" t="e">
        <f>K$15*Revenue!I$19</f>
        <v>#REF!</v>
      </c>
      <c r="L29" s="6" t="e">
        <f>L$15*Revenue!J$19</f>
        <v>#REF!</v>
      </c>
      <c r="M29" s="6" t="e">
        <f>M$15*Revenue!K$19</f>
        <v>#REF!</v>
      </c>
      <c r="N29" s="6" t="e">
        <f>N$15*Revenue!L$19</f>
        <v>#REF!</v>
      </c>
      <c r="O29" s="6" t="e">
        <f>O$15*Revenue!M$19</f>
        <v>#REF!</v>
      </c>
      <c r="P29" s="6" t="e">
        <f>P$15*Revenue!N$19</f>
        <v>#REF!</v>
      </c>
      <c r="Q29" s="6" t="e">
        <f>Q$15*Revenue!O$19</f>
        <v>#REF!</v>
      </c>
      <c r="R29" s="107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6" customFormat="1" x14ac:dyDescent="0.25">
      <c r="A30" s="121"/>
      <c r="B30" s="6" t="s">
        <v>157</v>
      </c>
      <c r="F30" s="6">
        <f>Revenue!D20*D18</f>
        <v>0</v>
      </c>
      <c r="G30" s="6">
        <f>Revenue!E20*E18</f>
        <v>0</v>
      </c>
      <c r="H30" s="6" t="e">
        <f>Revenue!F20*F18</f>
        <v>#REF!</v>
      </c>
      <c r="I30" s="6" t="e">
        <f>Revenue!G20*G18</f>
        <v>#REF!</v>
      </c>
      <c r="J30" s="6" t="e">
        <f>Revenue!H20*H18</f>
        <v>#REF!</v>
      </c>
      <c r="K30" s="6" t="e">
        <f>Revenue!I20*I18</f>
        <v>#REF!</v>
      </c>
      <c r="L30" s="6" t="e">
        <f>Revenue!J20*J18</f>
        <v>#REF!</v>
      </c>
      <c r="M30" s="6" t="e">
        <f>Revenue!K20*K18</f>
        <v>#REF!</v>
      </c>
      <c r="N30" s="6" t="e">
        <f>Revenue!L20*L18</f>
        <v>#REF!</v>
      </c>
      <c r="O30" s="6" t="e">
        <f>Revenue!M20*M18</f>
        <v>#REF!</v>
      </c>
      <c r="P30" s="6" t="e">
        <f>Revenue!N20*N18</f>
        <v>#REF!</v>
      </c>
      <c r="Q30" s="6" t="e">
        <f>Revenue!O20*O18</f>
        <v>#REF!</v>
      </c>
      <c r="R30" s="107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6" customFormat="1" x14ac:dyDescent="0.25">
      <c r="A31" s="121"/>
      <c r="B31" s="31" t="s">
        <v>271</v>
      </c>
      <c r="C31" t="s">
        <v>272</v>
      </c>
      <c r="I31" s="82">
        <v>325000</v>
      </c>
      <c r="J31" s="82">
        <v>250000</v>
      </c>
      <c r="R31" s="107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6" customFormat="1" x14ac:dyDescent="0.25">
      <c r="A32" s="121"/>
      <c r="B32" s="6" t="s">
        <v>158</v>
      </c>
      <c r="D32" s="90" t="s">
        <v>288</v>
      </c>
      <c r="F32" s="32" t="e">
        <f t="shared" ref="F32:Q32" si="14">F141-F36</f>
        <v>#REF!</v>
      </c>
      <c r="G32" s="32" t="e">
        <f t="shared" si="14"/>
        <v>#REF!</v>
      </c>
      <c r="H32" s="32" t="e">
        <f t="shared" si="14"/>
        <v>#REF!</v>
      </c>
      <c r="I32" s="32" t="e">
        <f t="shared" si="14"/>
        <v>#REF!</v>
      </c>
      <c r="J32" s="32" t="e">
        <f t="shared" si="14"/>
        <v>#REF!</v>
      </c>
      <c r="K32" s="32" t="e">
        <f t="shared" si="14"/>
        <v>#REF!</v>
      </c>
      <c r="L32" s="32" t="e">
        <f t="shared" si="14"/>
        <v>#REF!</v>
      </c>
      <c r="M32" s="32" t="e">
        <f t="shared" si="14"/>
        <v>#REF!</v>
      </c>
      <c r="N32" s="32" t="e">
        <f t="shared" si="14"/>
        <v>#REF!</v>
      </c>
      <c r="O32" s="32" t="e">
        <f t="shared" si="14"/>
        <v>#REF!</v>
      </c>
      <c r="P32" s="32" t="e">
        <f t="shared" si="14"/>
        <v>#REF!</v>
      </c>
      <c r="Q32" s="32" t="e">
        <f t="shared" si="14"/>
        <v>#REF!</v>
      </c>
      <c r="R32" s="107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6" customFormat="1" x14ac:dyDescent="0.25">
      <c r="A33" s="121"/>
      <c r="B33" s="121" t="s">
        <v>212</v>
      </c>
      <c r="F33" s="6" t="e">
        <f>SUM(F27:F32)</f>
        <v>#REF!</v>
      </c>
      <c r="G33" s="6" t="e">
        <f t="shared" ref="G33:Q33" si="15">SUM(G27:G32)</f>
        <v>#REF!</v>
      </c>
      <c r="H33" s="6" t="e">
        <f t="shared" si="15"/>
        <v>#REF!</v>
      </c>
      <c r="I33" s="6" t="e">
        <f t="shared" si="15"/>
        <v>#REF!</v>
      </c>
      <c r="J33" s="6" t="e">
        <f t="shared" si="15"/>
        <v>#REF!</v>
      </c>
      <c r="K33" s="6" t="e">
        <f t="shared" si="15"/>
        <v>#REF!</v>
      </c>
      <c r="L33" s="6" t="e">
        <f t="shared" si="15"/>
        <v>#REF!</v>
      </c>
      <c r="M33" s="6" t="e">
        <f t="shared" si="15"/>
        <v>#REF!</v>
      </c>
      <c r="N33" s="6" t="e">
        <f t="shared" si="15"/>
        <v>#REF!</v>
      </c>
      <c r="O33" s="6" t="e">
        <f t="shared" si="15"/>
        <v>#REF!</v>
      </c>
      <c r="P33" s="6" t="e">
        <f t="shared" si="15"/>
        <v>#REF!</v>
      </c>
      <c r="Q33" s="6" t="e">
        <f t="shared" si="15"/>
        <v>#REF!</v>
      </c>
      <c r="R33" s="107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2" customFormat="1" x14ac:dyDescent="0.25">
      <c r="A34" s="16" t="s">
        <v>149</v>
      </c>
      <c r="B34" s="124"/>
      <c r="F34" s="125"/>
      <c r="G34" s="125"/>
      <c r="H34" s="125"/>
      <c r="I34" s="20"/>
      <c r="J34" s="20"/>
      <c r="K34" s="20"/>
      <c r="L34" s="20"/>
      <c r="M34" s="20"/>
      <c r="N34" s="20"/>
      <c r="O34" s="20"/>
      <c r="P34" s="20"/>
      <c r="Q34" s="20"/>
      <c r="R34" s="107"/>
    </row>
    <row r="35" spans="1:28" s="2" customFormat="1" x14ac:dyDescent="0.25">
      <c r="A35" s="16"/>
      <c r="B35" s="127" t="s">
        <v>155</v>
      </c>
      <c r="F35" s="6" t="e">
        <f>Revenue!D12*F15</f>
        <v>#REF!</v>
      </c>
      <c r="G35" s="6" t="e">
        <f>Revenue!E12*G15</f>
        <v>#REF!</v>
      </c>
      <c r="H35" s="6" t="e">
        <f>Revenue!F12*H15</f>
        <v>#REF!</v>
      </c>
      <c r="I35" s="6" t="e">
        <f>Revenue!G12*I15</f>
        <v>#REF!</v>
      </c>
      <c r="J35" s="6" t="e">
        <f>Revenue!H12*J15</f>
        <v>#REF!</v>
      </c>
      <c r="K35" s="6" t="e">
        <f>Revenue!I12*K15</f>
        <v>#REF!</v>
      </c>
      <c r="L35" s="6" t="e">
        <f>Revenue!J12*L15</f>
        <v>#REF!</v>
      </c>
      <c r="M35" s="6" t="e">
        <f>Revenue!K12*M15</f>
        <v>#REF!</v>
      </c>
      <c r="N35" s="6" t="e">
        <f>Revenue!L12*N15</f>
        <v>#REF!</v>
      </c>
      <c r="O35" s="6" t="e">
        <f>Revenue!M12*O15</f>
        <v>#REF!</v>
      </c>
      <c r="P35" s="6" t="e">
        <f>Revenue!N12*P15</f>
        <v>#REF!</v>
      </c>
      <c r="Q35" s="6" t="e">
        <f>Revenue!O12*Q15</f>
        <v>#REF!</v>
      </c>
      <c r="R35" s="107"/>
    </row>
    <row r="36" spans="1:28" s="2" customFormat="1" x14ac:dyDescent="0.25">
      <c r="A36" s="16"/>
      <c r="B36" s="127" t="s">
        <v>203</v>
      </c>
      <c r="D36" s="90">
        <v>72</v>
      </c>
      <c r="F36" s="107" t="e">
        <f t="shared" ref="F36:Q36" si="16">$D36*F$186</f>
        <v>#REF!</v>
      </c>
      <c r="G36" s="107" t="e">
        <f t="shared" si="16"/>
        <v>#REF!</v>
      </c>
      <c r="H36" s="107" t="e">
        <f t="shared" si="16"/>
        <v>#REF!</v>
      </c>
      <c r="I36" s="107" t="e">
        <f t="shared" si="16"/>
        <v>#REF!</v>
      </c>
      <c r="J36" s="107" t="e">
        <f t="shared" si="16"/>
        <v>#REF!</v>
      </c>
      <c r="K36" s="107" t="e">
        <f t="shared" si="16"/>
        <v>#REF!</v>
      </c>
      <c r="L36" s="107" t="e">
        <f t="shared" si="16"/>
        <v>#REF!</v>
      </c>
      <c r="M36" s="107" t="e">
        <f t="shared" si="16"/>
        <v>#REF!</v>
      </c>
      <c r="N36" s="107" t="e">
        <f t="shared" si="16"/>
        <v>#REF!</v>
      </c>
      <c r="O36" s="107" t="e">
        <f t="shared" si="16"/>
        <v>#REF!</v>
      </c>
      <c r="P36" s="107" t="e">
        <f t="shared" si="16"/>
        <v>#REF!</v>
      </c>
      <c r="Q36" s="107" t="e">
        <f t="shared" si="16"/>
        <v>#REF!</v>
      </c>
      <c r="R36" s="107"/>
    </row>
    <row r="37" spans="1:28" s="2" customFormat="1" x14ac:dyDescent="0.25">
      <c r="A37" s="16"/>
      <c r="B37" s="127" t="s">
        <v>205</v>
      </c>
      <c r="F37" s="6" t="e">
        <f>Revenue!#REF!*F15</f>
        <v>#REF!</v>
      </c>
      <c r="G37" s="6" t="e">
        <f>Revenue!#REF!*G15</f>
        <v>#REF!</v>
      </c>
      <c r="H37" s="6" t="e">
        <f>Revenue!#REF!*H15</f>
        <v>#REF!</v>
      </c>
      <c r="I37" s="6" t="e">
        <f>Revenue!#REF!*I15</f>
        <v>#REF!</v>
      </c>
      <c r="J37" s="6" t="e">
        <f>Revenue!#REF!*J15</f>
        <v>#REF!</v>
      </c>
      <c r="K37" s="6" t="e">
        <f>Revenue!#REF!*K15</f>
        <v>#REF!</v>
      </c>
      <c r="L37" s="6" t="e">
        <f>Revenue!#REF!*L15</f>
        <v>#REF!</v>
      </c>
      <c r="M37" s="6" t="e">
        <f>Revenue!#REF!*M15</f>
        <v>#REF!</v>
      </c>
      <c r="N37" s="6" t="e">
        <f>Revenue!#REF!*N15</f>
        <v>#REF!</v>
      </c>
      <c r="O37" s="6" t="e">
        <f>Revenue!#REF!*O15</f>
        <v>#REF!</v>
      </c>
      <c r="P37" s="6" t="e">
        <f>Revenue!#REF!*P15</f>
        <v>#REF!</v>
      </c>
      <c r="Q37" s="6" t="e">
        <f>Revenue!#REF!*Q15</f>
        <v>#REF!</v>
      </c>
      <c r="R37" s="107"/>
    </row>
    <row r="38" spans="1:28" s="2" customFormat="1" x14ac:dyDescent="0.25">
      <c r="A38" s="16"/>
      <c r="B38" s="2" t="s">
        <v>138</v>
      </c>
      <c r="F38" s="6" t="e">
        <f>F15*Revenue!#REF!</f>
        <v>#REF!</v>
      </c>
      <c r="G38" s="6" t="e">
        <f>G15*Revenue!#REF!</f>
        <v>#REF!</v>
      </c>
      <c r="H38" s="6" t="e">
        <f>H15*Revenue!#REF!</f>
        <v>#REF!</v>
      </c>
      <c r="I38" s="6" t="e">
        <f>I15*Revenue!#REF!</f>
        <v>#REF!</v>
      </c>
      <c r="J38" s="6" t="e">
        <f>J15*Revenue!#REF!</f>
        <v>#REF!</v>
      </c>
      <c r="K38" s="6" t="e">
        <f>K15*Revenue!#REF!</f>
        <v>#REF!</v>
      </c>
      <c r="L38" s="6" t="e">
        <f>L15*Revenue!#REF!</f>
        <v>#REF!</v>
      </c>
      <c r="M38" s="6" t="e">
        <f>M15*Revenue!#REF!</f>
        <v>#REF!</v>
      </c>
      <c r="N38" s="6" t="e">
        <f>N15*Revenue!#REF!</f>
        <v>#REF!</v>
      </c>
      <c r="O38" s="6" t="e">
        <f>O15*Revenue!#REF!</f>
        <v>#REF!</v>
      </c>
      <c r="P38" s="6" t="e">
        <f>P15*Revenue!#REF!</f>
        <v>#REF!</v>
      </c>
      <c r="Q38" s="6" t="e">
        <f>Q15*Revenue!#REF!</f>
        <v>#REF!</v>
      </c>
      <c r="R38" s="107"/>
    </row>
    <row r="39" spans="1:28" s="2" customFormat="1" x14ac:dyDescent="0.25">
      <c r="A39" s="16"/>
      <c r="B39" s="2" t="s">
        <v>139</v>
      </c>
      <c r="F39" s="6" t="e">
        <f>((E16+E18)+((E16+E18)-(E15*0.5))*0.5)*Revenue!#REF!</f>
        <v>#REF!</v>
      </c>
      <c r="G39" s="6" t="e">
        <f>((F16+F18)+((F16+F18)-(F15*0.5))*0.5)*Revenue!#REF!</f>
        <v>#REF!</v>
      </c>
      <c r="H39" s="6" t="e">
        <f>((G16+G18)+((G16+G18)-(G15*0.5))*0.5)*Revenue!#REF!</f>
        <v>#REF!</v>
      </c>
      <c r="I39" s="6" t="e">
        <f>((H16+H18)+((H16+H18)-(H15*0.5))*0.5)*Revenue!#REF!</f>
        <v>#REF!</v>
      </c>
      <c r="J39" s="6" t="e">
        <f>((I16+I18)+((I16+I18)-(I15*0.5))*0.5)*Revenue!#REF!</f>
        <v>#REF!</v>
      </c>
      <c r="K39" s="6" t="e">
        <f>((J16+J18)+((J16+J18)-(J15*0.5))*0.5)*Revenue!#REF!</f>
        <v>#REF!</v>
      </c>
      <c r="L39" s="6" t="e">
        <f>((K16+K18)+((K16+K18)-(K15*0.5))*0.5)*Revenue!#REF!</f>
        <v>#REF!</v>
      </c>
      <c r="M39" s="6" t="e">
        <f>((L16+L18)+((L16+L18)-(L15*0.5))*0.5)*Revenue!#REF!</f>
        <v>#REF!</v>
      </c>
      <c r="N39" s="6" t="e">
        <f>((M16+M18)+((M16+M18)-(M15*0.5))*0.5)*Revenue!#REF!</f>
        <v>#REF!</v>
      </c>
      <c r="O39" s="6" t="e">
        <f>((N16+N18)+((N16+N18)-(N15*0.5))*0.5)*Revenue!#REF!</f>
        <v>#REF!</v>
      </c>
      <c r="P39" s="6" t="e">
        <f>((O16+O18)+((O16+O18)-(O15*0.5))*0.5)*Revenue!#REF!</f>
        <v>#REF!</v>
      </c>
      <c r="Q39" s="6" t="e">
        <f>((P16+P18)+((P16+P18)-(P15*0.5))*0.5)*Revenue!#REF!</f>
        <v>#REF!</v>
      </c>
      <c r="R39" s="107"/>
    </row>
    <row r="40" spans="1:28" s="2" customFormat="1" x14ac:dyDescent="0.25">
      <c r="A40" s="16"/>
      <c r="B40" s="2" t="s">
        <v>211</v>
      </c>
      <c r="C40" s="2" t="s">
        <v>350</v>
      </c>
      <c r="F40" s="128"/>
      <c r="G40" s="128"/>
      <c r="H40" s="128"/>
      <c r="I40" s="128"/>
      <c r="J40" s="128"/>
      <c r="K40" s="6" t="e">
        <f>+MIN(K17*Revenue!I15,0.75*K123)</f>
        <v>#REF!</v>
      </c>
      <c r="L40" s="6" t="e">
        <f>+MIN(L17*Revenue!J15,0.75*L123)</f>
        <v>#REF!</v>
      </c>
      <c r="M40" s="6" t="e">
        <f>+MIN(M17*Revenue!K15,0.75*M123)</f>
        <v>#REF!</v>
      </c>
      <c r="N40" s="6" t="e">
        <f>+MIN(N17*Revenue!L15,0.75*N123)</f>
        <v>#REF!</v>
      </c>
      <c r="O40" s="6" t="e">
        <f>+MIN(O17*Revenue!M15,0.75*O123)</f>
        <v>#REF!</v>
      </c>
      <c r="P40" s="6" t="e">
        <f>+MIN(P17*Revenue!N15,0.75*P123)</f>
        <v>#REF!</v>
      </c>
      <c r="Q40" s="6" t="e">
        <f>+MIN(Q17*Revenue!O15,0.75*Q123)</f>
        <v>#REF!</v>
      </c>
      <c r="R40" s="107"/>
    </row>
    <row r="41" spans="1:28" s="2" customFormat="1" x14ac:dyDescent="0.25">
      <c r="A41" s="16"/>
      <c r="B41" s="127" t="s">
        <v>207</v>
      </c>
      <c r="F41" s="6">
        <v>0</v>
      </c>
      <c r="G41" s="6">
        <v>0</v>
      </c>
      <c r="H41" s="6">
        <v>0</v>
      </c>
      <c r="I41" s="6" t="e">
        <f>I15*Revenue!G14</f>
        <v>#REF!</v>
      </c>
      <c r="J41" s="6" t="e">
        <f>J15*Revenue!H14</f>
        <v>#REF!</v>
      </c>
      <c r="K41" s="6" t="e">
        <f>K15*Revenue!I14</f>
        <v>#REF!</v>
      </c>
      <c r="L41" s="6" t="e">
        <f>L15*Revenue!J14</f>
        <v>#REF!</v>
      </c>
      <c r="M41" s="6" t="e">
        <f>M15*Revenue!K14</f>
        <v>#REF!</v>
      </c>
      <c r="N41" s="6" t="e">
        <f>N15*Revenue!L14</f>
        <v>#REF!</v>
      </c>
      <c r="O41" s="6" t="e">
        <f>O15*Revenue!M14</f>
        <v>#REF!</v>
      </c>
      <c r="P41" s="6" t="e">
        <f>P15*Revenue!N14</f>
        <v>#REF!</v>
      </c>
      <c r="Q41" s="6" t="e">
        <f>Q15*Revenue!O14</f>
        <v>#REF!</v>
      </c>
      <c r="R41" s="107"/>
    </row>
    <row r="42" spans="1:28" s="2" customFormat="1" x14ac:dyDescent="0.25">
      <c r="A42" s="16"/>
      <c r="B42" s="2" t="s">
        <v>206</v>
      </c>
      <c r="C42" s="2" t="s">
        <v>346</v>
      </c>
      <c r="F42" s="129" t="e">
        <f>F$65+(0.1*F$65)</f>
        <v>#REF!</v>
      </c>
      <c r="G42" s="135" t="e">
        <f t="shared" ref="G42:Q42" si="17">G$65+(0.1*G$65)</f>
        <v>#REF!</v>
      </c>
      <c r="H42" s="135" t="e">
        <f t="shared" si="17"/>
        <v>#REF!</v>
      </c>
      <c r="I42" s="135" t="e">
        <f t="shared" si="17"/>
        <v>#REF!</v>
      </c>
      <c r="J42" s="135" t="e">
        <f t="shared" si="17"/>
        <v>#REF!</v>
      </c>
      <c r="K42" s="135" t="e">
        <f t="shared" si="17"/>
        <v>#REF!</v>
      </c>
      <c r="L42" s="135" t="e">
        <f t="shared" si="17"/>
        <v>#REF!</v>
      </c>
      <c r="M42" s="135" t="e">
        <f t="shared" si="17"/>
        <v>#REF!</v>
      </c>
      <c r="N42" s="135" t="e">
        <f t="shared" si="17"/>
        <v>#REF!</v>
      </c>
      <c r="O42" s="135" t="e">
        <f t="shared" si="17"/>
        <v>#REF!</v>
      </c>
      <c r="P42" s="135" t="e">
        <f t="shared" si="17"/>
        <v>#REF!</v>
      </c>
      <c r="Q42" s="135" t="e">
        <f t="shared" si="17"/>
        <v>#REF!</v>
      </c>
      <c r="R42" s="107"/>
    </row>
    <row r="43" spans="1:28" s="2" customFormat="1" x14ac:dyDescent="0.25">
      <c r="A43" s="16"/>
      <c r="B43" s="2" t="s">
        <v>208</v>
      </c>
      <c r="F43" s="140" t="e">
        <f t="shared" ref="F43:Q43" si="18">SUM(F35:F42)</f>
        <v>#REF!</v>
      </c>
      <c r="G43" s="140" t="e">
        <f t="shared" si="18"/>
        <v>#REF!</v>
      </c>
      <c r="H43" s="140" t="e">
        <f t="shared" si="18"/>
        <v>#REF!</v>
      </c>
      <c r="I43" s="140" t="e">
        <f t="shared" si="18"/>
        <v>#REF!</v>
      </c>
      <c r="J43" s="140" t="e">
        <f t="shared" si="18"/>
        <v>#REF!</v>
      </c>
      <c r="K43" s="140" t="e">
        <f t="shared" si="18"/>
        <v>#REF!</v>
      </c>
      <c r="L43" s="140" t="e">
        <f t="shared" si="18"/>
        <v>#REF!</v>
      </c>
      <c r="M43" s="140" t="e">
        <f t="shared" si="18"/>
        <v>#REF!</v>
      </c>
      <c r="N43" s="140" t="e">
        <f t="shared" si="18"/>
        <v>#REF!</v>
      </c>
      <c r="O43" s="140" t="e">
        <f t="shared" si="18"/>
        <v>#REF!</v>
      </c>
      <c r="P43" s="140" t="e">
        <f t="shared" si="18"/>
        <v>#REF!</v>
      </c>
      <c r="Q43" s="140" t="e">
        <f t="shared" si="18"/>
        <v>#REF!</v>
      </c>
    </row>
    <row r="44" spans="1:28" s="113" customFormat="1" x14ac:dyDescent="0.25">
      <c r="A44" s="30" t="s">
        <v>263</v>
      </c>
      <c r="B44"/>
      <c r="C44"/>
      <c r="D44" s="2"/>
      <c r="E44" s="2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28" s="113" customFormat="1" x14ac:dyDescent="0.25">
      <c r="A45" s="30"/>
      <c r="B45" t="s">
        <v>257</v>
      </c>
      <c r="C45"/>
      <c r="D45" s="2"/>
      <c r="E45" s="2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28" s="113" customFormat="1" x14ac:dyDescent="0.25">
      <c r="A46" s="30"/>
      <c r="B46" t="s">
        <v>258</v>
      </c>
      <c r="C46"/>
      <c r="D46" s="2"/>
      <c r="E46" s="2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28" s="113" customFormat="1" x14ac:dyDescent="0.25">
      <c r="A47" s="30"/>
      <c r="B47" t="s">
        <v>259</v>
      </c>
      <c r="C47"/>
      <c r="D47" s="2"/>
      <c r="E47" s="2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28" s="113" customFormat="1" x14ac:dyDescent="0.25">
      <c r="A48" s="30"/>
      <c r="B48"/>
      <c r="C48" s="83" t="s">
        <v>295</v>
      </c>
      <c r="D48" s="2"/>
      <c r="E48" s="2"/>
      <c r="F48" s="141"/>
      <c r="G48" s="141"/>
      <c r="H48" s="141"/>
      <c r="I48" s="151">
        <v>125000</v>
      </c>
      <c r="J48" s="151">
        <v>125000</v>
      </c>
      <c r="K48" s="141"/>
      <c r="L48" s="141"/>
      <c r="M48" s="141"/>
      <c r="N48" s="141"/>
      <c r="O48" s="141"/>
      <c r="P48" s="141"/>
      <c r="Q48" s="141"/>
    </row>
    <row r="49" spans="1:18" s="113" customFormat="1" x14ac:dyDescent="0.25">
      <c r="A49" s="30"/>
      <c r="B49"/>
      <c r="C49" s="83" t="s">
        <v>348</v>
      </c>
      <c r="D49" s="2"/>
      <c r="E49" s="2"/>
      <c r="F49" s="135"/>
      <c r="G49" s="135"/>
      <c r="H49" s="135"/>
      <c r="I49" s="178">
        <v>250000</v>
      </c>
      <c r="J49" s="135"/>
      <c r="K49" s="135"/>
      <c r="L49" s="135"/>
      <c r="M49" s="135"/>
      <c r="N49" s="135"/>
      <c r="O49" s="135"/>
      <c r="P49" s="135"/>
      <c r="Q49" s="135"/>
    </row>
    <row r="50" spans="1:18" s="113" customFormat="1" x14ac:dyDescent="0.25">
      <c r="A50" s="30"/>
      <c r="B50" t="s">
        <v>260</v>
      </c>
      <c r="C50"/>
      <c r="D50" s="2"/>
      <c r="E50" s="2"/>
      <c r="F50" s="141">
        <f>SUM(F48:F49)</f>
        <v>0</v>
      </c>
      <c r="G50" s="141">
        <f t="shared" ref="G50:Q50" si="19">SUM(G48:G49)</f>
        <v>0</v>
      </c>
      <c r="H50" s="141">
        <f t="shared" si="19"/>
        <v>0</v>
      </c>
      <c r="I50" s="141">
        <f t="shared" si="19"/>
        <v>375000</v>
      </c>
      <c r="J50" s="141">
        <f t="shared" si="19"/>
        <v>125000</v>
      </c>
      <c r="K50" s="141">
        <f t="shared" si="19"/>
        <v>0</v>
      </c>
      <c r="L50" s="141">
        <f t="shared" si="19"/>
        <v>0</v>
      </c>
      <c r="M50" s="141">
        <f t="shared" si="19"/>
        <v>0</v>
      </c>
      <c r="N50" s="141">
        <f t="shared" si="19"/>
        <v>0</v>
      </c>
      <c r="O50" s="141">
        <f t="shared" si="19"/>
        <v>0</v>
      </c>
      <c r="P50" s="141">
        <f t="shared" si="19"/>
        <v>0</v>
      </c>
      <c r="Q50" s="141">
        <f t="shared" si="19"/>
        <v>0</v>
      </c>
    </row>
    <row r="51" spans="1:18" s="113" customFormat="1" x14ac:dyDescent="0.25">
      <c r="A51" s="30"/>
      <c r="B51" t="s">
        <v>261</v>
      </c>
      <c r="C51" s="83" t="s">
        <v>262</v>
      </c>
      <c r="D51" s="2"/>
      <c r="E51" s="6" t="e">
        <f>#REF!</f>
        <v>#REF!</v>
      </c>
      <c r="F51" s="135" t="e">
        <f t="shared" ref="F51:Q51" si="20">$E51*F$186</f>
        <v>#REF!</v>
      </c>
      <c r="G51" s="135" t="e">
        <f t="shared" si="20"/>
        <v>#REF!</v>
      </c>
      <c r="H51" s="135" t="e">
        <f t="shared" si="20"/>
        <v>#REF!</v>
      </c>
      <c r="I51" s="135" t="e">
        <f t="shared" si="20"/>
        <v>#REF!</v>
      </c>
      <c r="J51" s="135" t="e">
        <f t="shared" si="20"/>
        <v>#REF!</v>
      </c>
      <c r="K51" s="135" t="e">
        <f t="shared" si="20"/>
        <v>#REF!</v>
      </c>
      <c r="L51" s="135" t="e">
        <f t="shared" si="20"/>
        <v>#REF!</v>
      </c>
      <c r="M51" s="135" t="e">
        <f t="shared" si="20"/>
        <v>#REF!</v>
      </c>
      <c r="N51" s="135" t="e">
        <f t="shared" si="20"/>
        <v>#REF!</v>
      </c>
      <c r="O51" s="135" t="e">
        <f t="shared" si="20"/>
        <v>#REF!</v>
      </c>
      <c r="P51" s="135" t="e">
        <f t="shared" si="20"/>
        <v>#REF!</v>
      </c>
      <c r="Q51" s="135" t="e">
        <f t="shared" si="20"/>
        <v>#REF!</v>
      </c>
    </row>
    <row r="52" spans="1:18" s="113" customFormat="1" x14ac:dyDescent="0.25">
      <c r="A52" s="142"/>
      <c r="B52" t="s">
        <v>275</v>
      </c>
      <c r="F52" s="141" t="e">
        <f>F50+F51+SUM(F45:F47)</f>
        <v>#REF!</v>
      </c>
      <c r="G52" s="141" t="e">
        <f t="shared" ref="G52:Q52" si="21">G50+G51+SUM(G45:G47)</f>
        <v>#REF!</v>
      </c>
      <c r="H52" s="141" t="e">
        <f t="shared" si="21"/>
        <v>#REF!</v>
      </c>
      <c r="I52" s="141" t="e">
        <f t="shared" si="21"/>
        <v>#REF!</v>
      </c>
      <c r="J52" s="141" t="e">
        <f t="shared" si="21"/>
        <v>#REF!</v>
      </c>
      <c r="K52" s="141" t="e">
        <f t="shared" si="21"/>
        <v>#REF!</v>
      </c>
      <c r="L52" s="141" t="e">
        <f t="shared" si="21"/>
        <v>#REF!</v>
      </c>
      <c r="M52" s="141" t="e">
        <f t="shared" si="21"/>
        <v>#REF!</v>
      </c>
      <c r="N52" s="141" t="e">
        <f t="shared" si="21"/>
        <v>#REF!</v>
      </c>
      <c r="O52" s="141" t="e">
        <f t="shared" si="21"/>
        <v>#REF!</v>
      </c>
      <c r="P52" s="141" t="e">
        <f t="shared" si="21"/>
        <v>#REF!</v>
      </c>
      <c r="Q52" s="141" t="e">
        <f t="shared" si="21"/>
        <v>#REF!</v>
      </c>
    </row>
    <row r="53" spans="1:18" s="2" customFormat="1" ht="15.75" thickBot="1" x14ac:dyDescent="0.3">
      <c r="A53" s="16" t="s">
        <v>210</v>
      </c>
      <c r="F53" s="131" t="e">
        <f>F33+F43+F25+F52</f>
        <v>#REF!</v>
      </c>
      <c r="G53" s="131" t="e">
        <f t="shared" ref="G53:Q53" si="22">G33+G43+G25+G52</f>
        <v>#REF!</v>
      </c>
      <c r="H53" s="131" t="e">
        <f t="shared" si="22"/>
        <v>#REF!</v>
      </c>
      <c r="I53" s="131" t="e">
        <f t="shared" si="22"/>
        <v>#REF!</v>
      </c>
      <c r="J53" s="131" t="e">
        <f t="shared" si="22"/>
        <v>#REF!</v>
      </c>
      <c r="K53" s="131" t="e">
        <f t="shared" si="22"/>
        <v>#REF!</v>
      </c>
      <c r="L53" s="131" t="e">
        <f t="shared" si="22"/>
        <v>#REF!</v>
      </c>
      <c r="M53" s="131" t="e">
        <f t="shared" si="22"/>
        <v>#REF!</v>
      </c>
      <c r="N53" s="131" t="e">
        <f t="shared" si="22"/>
        <v>#REF!</v>
      </c>
      <c r="O53" s="131" t="e">
        <f t="shared" si="22"/>
        <v>#REF!</v>
      </c>
      <c r="P53" s="131" t="e">
        <f t="shared" si="22"/>
        <v>#REF!</v>
      </c>
      <c r="Q53" s="131" t="e">
        <f t="shared" si="22"/>
        <v>#REF!</v>
      </c>
      <c r="R53" s="107"/>
    </row>
    <row r="54" spans="1:18" ht="15.75" thickTop="1" x14ac:dyDescent="0.25">
      <c r="A54"/>
      <c r="E54"/>
      <c r="F54" s="38"/>
      <c r="G54" s="39"/>
      <c r="H54" s="40"/>
      <c r="I54" s="38"/>
      <c r="J54" s="38"/>
      <c r="K54" s="41"/>
      <c r="L54" s="41"/>
      <c r="M54" s="41"/>
      <c r="N54" s="41"/>
      <c r="O54" s="41"/>
      <c r="P54" s="41"/>
      <c r="Q54" s="41"/>
    </row>
    <row r="55" spans="1:18" x14ac:dyDescent="0.25">
      <c r="A55" s="4" t="s">
        <v>24</v>
      </c>
      <c r="B55" s="4" t="s">
        <v>25</v>
      </c>
      <c r="E55"/>
      <c r="F55" s="3" t="s">
        <v>0</v>
      </c>
      <c r="G55" s="21" t="s">
        <v>1</v>
      </c>
      <c r="H55" s="22" t="s">
        <v>2</v>
      </c>
      <c r="I55" s="3" t="s">
        <v>3</v>
      </c>
      <c r="J55" s="3" t="s">
        <v>4</v>
      </c>
      <c r="K55" s="4" t="s">
        <v>5</v>
      </c>
      <c r="L55" s="4" t="s">
        <v>61</v>
      </c>
      <c r="M55" s="4" t="s">
        <v>62</v>
      </c>
      <c r="N55" s="4" t="s">
        <v>63</v>
      </c>
      <c r="O55" s="4" t="s">
        <v>64</v>
      </c>
      <c r="P55" s="4" t="s">
        <v>65</v>
      </c>
      <c r="Q55" s="4" t="s">
        <v>66</v>
      </c>
    </row>
    <row r="56" spans="1:18" outlineLevel="1" x14ac:dyDescent="0.25">
      <c r="A56" s="18">
        <v>1110</v>
      </c>
      <c r="B56" s="18" t="s">
        <v>19</v>
      </c>
      <c r="C56" s="18"/>
      <c r="D56" s="18"/>
      <c r="E56"/>
      <c r="F56" s="6" t="e">
        <f t="shared" ref="F56:Q56" si="23">SUMIFS(F$334:F$458,$A$334:$A$458,$A56)</f>
        <v>#REF!</v>
      </c>
      <c r="G56" s="6" t="e">
        <f t="shared" si="23"/>
        <v>#REF!</v>
      </c>
      <c r="H56" s="6" t="e">
        <f t="shared" si="23"/>
        <v>#REF!</v>
      </c>
      <c r="I56" s="6" t="e">
        <f t="shared" si="23"/>
        <v>#REF!</v>
      </c>
      <c r="J56" s="6" t="e">
        <f t="shared" si="23"/>
        <v>#REF!</v>
      </c>
      <c r="K56" s="6" t="e">
        <f t="shared" si="23"/>
        <v>#REF!</v>
      </c>
      <c r="L56" s="6" t="e">
        <f t="shared" si="23"/>
        <v>#REF!</v>
      </c>
      <c r="M56" s="6" t="e">
        <f t="shared" si="23"/>
        <v>#REF!</v>
      </c>
      <c r="N56" s="6" t="e">
        <f t="shared" si="23"/>
        <v>#REF!</v>
      </c>
      <c r="O56" s="6" t="e">
        <f t="shared" si="23"/>
        <v>#REF!</v>
      </c>
      <c r="P56" s="6" t="e">
        <f t="shared" si="23"/>
        <v>#REF!</v>
      </c>
      <c r="Q56" s="6" t="e">
        <f t="shared" si="23"/>
        <v>#REF!</v>
      </c>
    </row>
    <row r="57" spans="1:18" outlineLevel="1" x14ac:dyDescent="0.25">
      <c r="A57" s="18">
        <v>1175</v>
      </c>
      <c r="B57" s="18" t="s">
        <v>20</v>
      </c>
      <c r="C57" s="18" t="s">
        <v>347</v>
      </c>
      <c r="D57" s="177">
        <v>0.03</v>
      </c>
      <c r="E57"/>
      <c r="F57" s="31" t="e">
        <f>$D57*F$459</f>
        <v>#REF!</v>
      </c>
      <c r="G57" s="31" t="e">
        <f t="shared" ref="G57:Q57" si="24">$D57*G$459</f>
        <v>#REF!</v>
      </c>
      <c r="H57" s="31" t="e">
        <f t="shared" si="24"/>
        <v>#REF!</v>
      </c>
      <c r="I57" s="31" t="e">
        <f t="shared" si="24"/>
        <v>#REF!</v>
      </c>
      <c r="J57" s="31" t="e">
        <f t="shared" si="24"/>
        <v>#REF!</v>
      </c>
      <c r="K57" s="31" t="e">
        <f t="shared" si="24"/>
        <v>#REF!</v>
      </c>
      <c r="L57" s="31" t="e">
        <f t="shared" si="24"/>
        <v>#REF!</v>
      </c>
      <c r="M57" s="31" t="e">
        <f t="shared" si="24"/>
        <v>#REF!</v>
      </c>
      <c r="N57" s="31" t="e">
        <f t="shared" si="24"/>
        <v>#REF!</v>
      </c>
      <c r="O57" s="31" t="e">
        <f t="shared" si="24"/>
        <v>#REF!</v>
      </c>
      <c r="P57" s="31" t="e">
        <f t="shared" si="24"/>
        <v>#REF!</v>
      </c>
      <c r="Q57" s="31" t="e">
        <f t="shared" si="24"/>
        <v>#REF!</v>
      </c>
    </row>
    <row r="58" spans="1:18" outlineLevel="1" x14ac:dyDescent="0.25">
      <c r="A58" s="18">
        <v>1300</v>
      </c>
      <c r="B58" s="18" t="s">
        <v>254</v>
      </c>
      <c r="C58" s="18"/>
      <c r="D58" s="18"/>
      <c r="E58"/>
      <c r="F58" s="6" t="e">
        <f t="shared" ref="F58:Q59" si="25">SUMIFS(F$334:F$458,$A$334:$A$458,$A58)</f>
        <v>#REF!</v>
      </c>
      <c r="G58" s="6" t="e">
        <f t="shared" si="25"/>
        <v>#REF!</v>
      </c>
      <c r="H58" s="6" t="e">
        <f t="shared" si="25"/>
        <v>#REF!</v>
      </c>
      <c r="I58" s="6" t="e">
        <f t="shared" si="25"/>
        <v>#REF!</v>
      </c>
      <c r="J58" s="6" t="e">
        <f t="shared" si="25"/>
        <v>#REF!</v>
      </c>
      <c r="K58" s="6" t="e">
        <f t="shared" si="25"/>
        <v>#REF!</v>
      </c>
      <c r="L58" s="6" t="e">
        <f t="shared" si="25"/>
        <v>#REF!</v>
      </c>
      <c r="M58" s="6" t="e">
        <f t="shared" si="25"/>
        <v>#REF!</v>
      </c>
      <c r="N58" s="6" t="e">
        <f t="shared" si="25"/>
        <v>#REF!</v>
      </c>
      <c r="O58" s="6" t="e">
        <f t="shared" si="25"/>
        <v>#REF!</v>
      </c>
      <c r="P58" s="6" t="e">
        <f t="shared" si="25"/>
        <v>#REF!</v>
      </c>
      <c r="Q58" s="6" t="e">
        <f t="shared" si="25"/>
        <v>#REF!</v>
      </c>
    </row>
    <row r="59" spans="1:18" outlineLevel="1" x14ac:dyDescent="0.25">
      <c r="A59" s="18">
        <v>2100</v>
      </c>
      <c r="B59" s="18" t="s">
        <v>21</v>
      </c>
      <c r="C59" s="18"/>
      <c r="D59" s="18"/>
      <c r="E59"/>
      <c r="F59" s="32">
        <f t="shared" si="25"/>
        <v>0</v>
      </c>
      <c r="G59" s="32">
        <f t="shared" si="25"/>
        <v>0</v>
      </c>
      <c r="H59" s="32">
        <f t="shared" si="25"/>
        <v>0</v>
      </c>
      <c r="I59" s="32">
        <f t="shared" si="25"/>
        <v>0</v>
      </c>
      <c r="J59" s="32">
        <f t="shared" si="25"/>
        <v>53000</v>
      </c>
      <c r="K59" s="32">
        <f t="shared" si="25"/>
        <v>54000</v>
      </c>
      <c r="L59" s="32">
        <f t="shared" si="25"/>
        <v>82500.000000000015</v>
      </c>
      <c r="M59" s="32">
        <f t="shared" si="25"/>
        <v>56000.000000000007</v>
      </c>
      <c r="N59" s="32">
        <f t="shared" si="25"/>
        <v>142500.00000000003</v>
      </c>
      <c r="O59" s="32">
        <f t="shared" si="25"/>
        <v>144999.99999999997</v>
      </c>
      <c r="P59" s="32">
        <f t="shared" si="25"/>
        <v>147500</v>
      </c>
      <c r="Q59" s="32">
        <f t="shared" si="25"/>
        <v>150000</v>
      </c>
    </row>
    <row r="60" spans="1:18" x14ac:dyDescent="0.25">
      <c r="A60" s="18">
        <v>100</v>
      </c>
      <c r="B60" s="18" t="s">
        <v>134</v>
      </c>
      <c r="C60" s="18"/>
      <c r="D60" s="18"/>
      <c r="E60"/>
      <c r="F60" s="31" t="e">
        <f>SUM(F56:F59)</f>
        <v>#REF!</v>
      </c>
      <c r="G60" s="31" t="e">
        <f t="shared" ref="G60:Q60" si="26">SUM(G56:G59)</f>
        <v>#REF!</v>
      </c>
      <c r="H60" s="31" t="e">
        <f t="shared" si="26"/>
        <v>#REF!</v>
      </c>
      <c r="I60" s="31" t="e">
        <f t="shared" si="26"/>
        <v>#REF!</v>
      </c>
      <c r="J60" s="31" t="e">
        <f t="shared" si="26"/>
        <v>#REF!</v>
      </c>
      <c r="K60" s="31" t="e">
        <f t="shared" si="26"/>
        <v>#REF!</v>
      </c>
      <c r="L60" s="31" t="e">
        <f t="shared" si="26"/>
        <v>#REF!</v>
      </c>
      <c r="M60" s="31" t="e">
        <f t="shared" si="26"/>
        <v>#REF!</v>
      </c>
      <c r="N60" s="31" t="e">
        <f t="shared" si="26"/>
        <v>#REF!</v>
      </c>
      <c r="O60" s="31" t="e">
        <f t="shared" si="26"/>
        <v>#REF!</v>
      </c>
      <c r="P60" s="31" t="e">
        <f t="shared" si="26"/>
        <v>#REF!</v>
      </c>
      <c r="Q60" s="31" t="e">
        <f t="shared" si="26"/>
        <v>#REF!</v>
      </c>
    </row>
    <row r="61" spans="1:18" outlineLevel="1" x14ac:dyDescent="0.25">
      <c r="A61" s="18"/>
      <c r="B61" s="18"/>
      <c r="C61" s="18"/>
      <c r="D61" s="18"/>
      <c r="E6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8" outlineLevel="1" x14ac:dyDescent="0.25">
      <c r="A62" s="18">
        <v>2200</v>
      </c>
      <c r="B62" s="18" t="s">
        <v>22</v>
      </c>
      <c r="C62" s="18"/>
      <c r="D62" s="18"/>
      <c r="E62"/>
      <c r="F62" s="6">
        <f t="shared" ref="F62:Q65" si="27">SUMIFS(F$334:F$458,$A$334:$A$458,$A62)</f>
        <v>0</v>
      </c>
      <c r="G62" s="6">
        <f t="shared" si="27"/>
        <v>0</v>
      </c>
      <c r="H62" s="6">
        <f t="shared" si="27"/>
        <v>0</v>
      </c>
      <c r="I62" s="6">
        <f t="shared" si="27"/>
        <v>24606.400000000001</v>
      </c>
      <c r="J62" s="6">
        <f t="shared" si="27"/>
        <v>31349.5</v>
      </c>
      <c r="K62" s="6">
        <f t="shared" si="27"/>
        <v>44717.400000000009</v>
      </c>
      <c r="L62" s="6">
        <f t="shared" si="27"/>
        <v>58558.500000000007</v>
      </c>
      <c r="M62" s="6">
        <f t="shared" si="27"/>
        <v>66248</v>
      </c>
      <c r="N62" s="6">
        <f t="shared" si="27"/>
        <v>67431</v>
      </c>
      <c r="O62" s="6">
        <f t="shared" si="27"/>
        <v>68614</v>
      </c>
      <c r="P62" s="6">
        <f t="shared" si="27"/>
        <v>69797</v>
      </c>
      <c r="Q62" s="6">
        <f t="shared" si="27"/>
        <v>70980</v>
      </c>
    </row>
    <row r="63" spans="1:18" outlineLevel="1" x14ac:dyDescent="0.25">
      <c r="A63" s="18">
        <v>2300</v>
      </c>
      <c r="B63" s="18" t="s">
        <v>253</v>
      </c>
      <c r="C63" s="18"/>
      <c r="D63" s="18"/>
      <c r="E63"/>
      <c r="F63" s="6" t="e">
        <f t="shared" si="27"/>
        <v>#REF!</v>
      </c>
      <c r="G63" s="6" t="e">
        <f t="shared" si="27"/>
        <v>#REF!</v>
      </c>
      <c r="H63" s="6" t="e">
        <f t="shared" si="27"/>
        <v>#REF!</v>
      </c>
      <c r="I63" s="6" t="e">
        <f t="shared" si="27"/>
        <v>#REF!</v>
      </c>
      <c r="J63" s="6" t="e">
        <f t="shared" si="27"/>
        <v>#REF!</v>
      </c>
      <c r="K63" s="6" t="e">
        <f t="shared" si="27"/>
        <v>#REF!</v>
      </c>
      <c r="L63" s="6" t="e">
        <f t="shared" si="27"/>
        <v>#REF!</v>
      </c>
      <c r="M63" s="6" t="e">
        <f t="shared" si="27"/>
        <v>#REF!</v>
      </c>
      <c r="N63" s="6" t="e">
        <f t="shared" si="27"/>
        <v>#REF!</v>
      </c>
      <c r="O63" s="6" t="e">
        <f t="shared" si="27"/>
        <v>#REF!</v>
      </c>
      <c r="P63" s="6" t="e">
        <f t="shared" si="27"/>
        <v>#REF!</v>
      </c>
      <c r="Q63" s="6" t="e">
        <f t="shared" si="27"/>
        <v>#REF!</v>
      </c>
    </row>
    <row r="64" spans="1:18" outlineLevel="1" x14ac:dyDescent="0.25">
      <c r="A64" s="18">
        <v>2400</v>
      </c>
      <c r="B64" s="18" t="s">
        <v>18</v>
      </c>
      <c r="C64" s="18"/>
      <c r="D64" s="18"/>
      <c r="E64"/>
      <c r="F64" s="6" t="e">
        <f t="shared" si="27"/>
        <v>#REF!</v>
      </c>
      <c r="G64" s="6" t="e">
        <f t="shared" si="27"/>
        <v>#REF!</v>
      </c>
      <c r="H64" s="6" t="e">
        <f t="shared" si="27"/>
        <v>#REF!</v>
      </c>
      <c r="I64" s="6" t="e">
        <f t="shared" si="27"/>
        <v>#REF!</v>
      </c>
      <c r="J64" s="6" t="e">
        <f t="shared" si="27"/>
        <v>#REF!</v>
      </c>
      <c r="K64" s="6" t="e">
        <f t="shared" si="27"/>
        <v>#REF!</v>
      </c>
      <c r="L64" s="6" t="e">
        <f t="shared" si="27"/>
        <v>#REF!</v>
      </c>
      <c r="M64" s="6" t="e">
        <f t="shared" si="27"/>
        <v>#REF!</v>
      </c>
      <c r="N64" s="6" t="e">
        <f t="shared" si="27"/>
        <v>#REF!</v>
      </c>
      <c r="O64" s="6" t="e">
        <f t="shared" si="27"/>
        <v>#REF!</v>
      </c>
      <c r="P64" s="6" t="e">
        <f t="shared" si="27"/>
        <v>#REF!</v>
      </c>
      <c r="Q64" s="6" t="e">
        <f t="shared" si="27"/>
        <v>#REF!</v>
      </c>
    </row>
    <row r="65" spans="1:17" outlineLevel="1" x14ac:dyDescent="0.25">
      <c r="A65" s="18">
        <v>2900</v>
      </c>
      <c r="B65" s="18" t="s">
        <v>23</v>
      </c>
      <c r="C65" s="18"/>
      <c r="D65" s="18"/>
      <c r="E65"/>
      <c r="F65" s="32" t="e">
        <f t="shared" si="27"/>
        <v>#REF!</v>
      </c>
      <c r="G65" s="32" t="e">
        <f t="shared" si="27"/>
        <v>#REF!</v>
      </c>
      <c r="H65" s="32" t="e">
        <f t="shared" si="27"/>
        <v>#REF!</v>
      </c>
      <c r="I65" s="32" t="e">
        <f t="shared" si="27"/>
        <v>#REF!</v>
      </c>
      <c r="J65" s="32" t="e">
        <f t="shared" si="27"/>
        <v>#REF!</v>
      </c>
      <c r="K65" s="32" t="e">
        <f t="shared" si="27"/>
        <v>#REF!</v>
      </c>
      <c r="L65" s="32" t="e">
        <f t="shared" si="27"/>
        <v>#REF!</v>
      </c>
      <c r="M65" s="32" t="e">
        <f t="shared" si="27"/>
        <v>#REF!</v>
      </c>
      <c r="N65" s="32" t="e">
        <f t="shared" si="27"/>
        <v>#REF!</v>
      </c>
      <c r="O65" s="32" t="e">
        <f t="shared" si="27"/>
        <v>#REF!</v>
      </c>
      <c r="P65" s="32" t="e">
        <f t="shared" si="27"/>
        <v>#REF!</v>
      </c>
      <c r="Q65" s="32" t="e">
        <f t="shared" si="27"/>
        <v>#REF!</v>
      </c>
    </row>
    <row r="66" spans="1:17" x14ac:dyDescent="0.25">
      <c r="A66" s="18">
        <v>150</v>
      </c>
      <c r="B66" s="18" t="s">
        <v>135</v>
      </c>
      <c r="C66" s="18"/>
      <c r="D66" s="18"/>
      <c r="E66"/>
      <c r="F66" s="31" t="e">
        <f t="shared" ref="F66:Q66" si="28">SUM(F62:F65)</f>
        <v>#REF!</v>
      </c>
      <c r="G66" s="31" t="e">
        <f t="shared" si="28"/>
        <v>#REF!</v>
      </c>
      <c r="H66" s="31" t="e">
        <f t="shared" si="28"/>
        <v>#REF!</v>
      </c>
      <c r="I66" s="31" t="e">
        <f t="shared" si="28"/>
        <v>#REF!</v>
      </c>
      <c r="J66" s="31" t="e">
        <f t="shared" si="28"/>
        <v>#REF!</v>
      </c>
      <c r="K66" s="31" t="e">
        <f t="shared" si="28"/>
        <v>#REF!</v>
      </c>
      <c r="L66" s="31" t="e">
        <f t="shared" si="28"/>
        <v>#REF!</v>
      </c>
      <c r="M66" s="31" t="e">
        <f t="shared" si="28"/>
        <v>#REF!</v>
      </c>
      <c r="N66" s="31" t="e">
        <f t="shared" si="28"/>
        <v>#REF!</v>
      </c>
      <c r="O66" s="31" t="e">
        <f t="shared" si="28"/>
        <v>#REF!</v>
      </c>
      <c r="P66" s="31" t="e">
        <f t="shared" si="28"/>
        <v>#REF!</v>
      </c>
      <c r="Q66" s="31" t="e">
        <f t="shared" si="28"/>
        <v>#REF!</v>
      </c>
    </row>
    <row r="67" spans="1:17" outlineLevel="1" x14ac:dyDescent="0.25">
      <c r="A67"/>
      <c r="B67" s="18"/>
      <c r="C67" s="33"/>
      <c r="D67" s="33"/>
      <c r="E67"/>
      <c r="F67" s="31" t="e">
        <f t="shared" ref="F67:Q67" si="29">IF((F66+F60-F57)=F459,0,FALSE)</f>
        <v>#REF!</v>
      </c>
      <c r="G67" s="31" t="e">
        <f t="shared" si="29"/>
        <v>#REF!</v>
      </c>
      <c r="H67" s="31" t="e">
        <f t="shared" si="29"/>
        <v>#REF!</v>
      </c>
      <c r="I67" s="31" t="e">
        <f t="shared" si="29"/>
        <v>#REF!</v>
      </c>
      <c r="J67" s="31" t="e">
        <f t="shared" si="29"/>
        <v>#REF!</v>
      </c>
      <c r="K67" s="31" t="e">
        <f t="shared" si="29"/>
        <v>#REF!</v>
      </c>
      <c r="L67" s="31" t="e">
        <f t="shared" si="29"/>
        <v>#REF!</v>
      </c>
      <c r="M67" s="31" t="e">
        <f t="shared" si="29"/>
        <v>#REF!</v>
      </c>
      <c r="N67" s="31" t="e">
        <f t="shared" si="29"/>
        <v>#REF!</v>
      </c>
      <c r="O67" s="31" t="e">
        <f t="shared" si="29"/>
        <v>#REF!</v>
      </c>
      <c r="P67" s="31" t="e">
        <f t="shared" si="29"/>
        <v>#REF!</v>
      </c>
      <c r="Q67" s="31" t="e">
        <f t="shared" si="29"/>
        <v>#REF!</v>
      </c>
    </row>
    <row r="68" spans="1:17" outlineLevel="1" x14ac:dyDescent="0.25">
      <c r="A68" s="18">
        <v>3111</v>
      </c>
      <c r="B68" s="18" t="s">
        <v>29</v>
      </c>
      <c r="C68" s="34">
        <v>8.2500000000000004E-2</v>
      </c>
      <c r="D68" s="34"/>
      <c r="E68"/>
      <c r="F68" s="31" t="e">
        <f>F60*$C68</f>
        <v>#REF!</v>
      </c>
      <c r="G68" s="31" t="e">
        <f t="shared" ref="G68:Q68" si="30">G60*$C68</f>
        <v>#REF!</v>
      </c>
      <c r="H68" s="31" t="e">
        <f t="shared" si="30"/>
        <v>#REF!</v>
      </c>
      <c r="I68" s="31" t="e">
        <f t="shared" si="30"/>
        <v>#REF!</v>
      </c>
      <c r="J68" s="31" t="e">
        <f t="shared" si="30"/>
        <v>#REF!</v>
      </c>
      <c r="K68" s="31" t="e">
        <f t="shared" si="30"/>
        <v>#REF!</v>
      </c>
      <c r="L68" s="31" t="e">
        <f t="shared" si="30"/>
        <v>#REF!</v>
      </c>
      <c r="M68" s="31" t="e">
        <f t="shared" si="30"/>
        <v>#REF!</v>
      </c>
      <c r="N68" s="31" t="e">
        <f t="shared" si="30"/>
        <v>#REF!</v>
      </c>
      <c r="O68" s="31" t="e">
        <f t="shared" si="30"/>
        <v>#REF!</v>
      </c>
      <c r="P68" s="31" t="e">
        <f t="shared" si="30"/>
        <v>#REF!</v>
      </c>
      <c r="Q68" s="31" t="e">
        <f t="shared" si="30"/>
        <v>#REF!</v>
      </c>
    </row>
    <row r="69" spans="1:17" outlineLevel="1" x14ac:dyDescent="0.25">
      <c r="A69" s="18">
        <v>3311</v>
      </c>
      <c r="B69" s="18" t="s">
        <v>35</v>
      </c>
      <c r="C69" s="34">
        <v>6.2E-2</v>
      </c>
      <c r="D69" s="34"/>
      <c r="E69"/>
      <c r="F69" s="31" t="e">
        <f>F$66*$C69</f>
        <v>#REF!</v>
      </c>
      <c r="G69" s="31" t="e">
        <f t="shared" ref="G69:Q69" si="31">G$66*$C69</f>
        <v>#REF!</v>
      </c>
      <c r="H69" s="31" t="e">
        <f t="shared" si="31"/>
        <v>#REF!</v>
      </c>
      <c r="I69" s="31" t="e">
        <f t="shared" si="31"/>
        <v>#REF!</v>
      </c>
      <c r="J69" s="31" t="e">
        <f t="shared" si="31"/>
        <v>#REF!</v>
      </c>
      <c r="K69" s="31" t="e">
        <f t="shared" si="31"/>
        <v>#REF!</v>
      </c>
      <c r="L69" s="31" t="e">
        <f t="shared" si="31"/>
        <v>#REF!</v>
      </c>
      <c r="M69" s="31" t="e">
        <f t="shared" si="31"/>
        <v>#REF!</v>
      </c>
      <c r="N69" s="31" t="e">
        <f t="shared" si="31"/>
        <v>#REF!</v>
      </c>
      <c r="O69" s="31" t="e">
        <f t="shared" si="31"/>
        <v>#REF!</v>
      </c>
      <c r="P69" s="31" t="e">
        <f t="shared" si="31"/>
        <v>#REF!</v>
      </c>
      <c r="Q69" s="31" t="e">
        <f t="shared" si="31"/>
        <v>#REF!</v>
      </c>
    </row>
    <row r="70" spans="1:17" outlineLevel="1" x14ac:dyDescent="0.25">
      <c r="A70" s="18">
        <v>3331</v>
      </c>
      <c r="B70" s="18" t="s">
        <v>30</v>
      </c>
      <c r="C70" s="34">
        <v>1.4500000000000001E-2</v>
      </c>
      <c r="D70" s="34"/>
      <c r="E70"/>
      <c r="F70" s="31" t="e">
        <f>(F$60+F$66)*$C70</f>
        <v>#REF!</v>
      </c>
      <c r="G70" s="31" t="e">
        <f t="shared" ref="G70:Q70" si="32">(G$60+G$66)*$C70</f>
        <v>#REF!</v>
      </c>
      <c r="H70" s="31" t="e">
        <f t="shared" si="32"/>
        <v>#REF!</v>
      </c>
      <c r="I70" s="31" t="e">
        <f t="shared" si="32"/>
        <v>#REF!</v>
      </c>
      <c r="J70" s="31" t="e">
        <f t="shared" si="32"/>
        <v>#REF!</v>
      </c>
      <c r="K70" s="31" t="e">
        <f t="shared" si="32"/>
        <v>#REF!</v>
      </c>
      <c r="L70" s="31" t="e">
        <f t="shared" si="32"/>
        <v>#REF!</v>
      </c>
      <c r="M70" s="31" t="e">
        <f t="shared" si="32"/>
        <v>#REF!</v>
      </c>
      <c r="N70" s="31" t="e">
        <f t="shared" si="32"/>
        <v>#REF!</v>
      </c>
      <c r="O70" s="31" t="e">
        <f t="shared" si="32"/>
        <v>#REF!</v>
      </c>
      <c r="P70" s="31" t="e">
        <f t="shared" si="32"/>
        <v>#REF!</v>
      </c>
      <c r="Q70" s="31" t="e">
        <f t="shared" si="32"/>
        <v>#REF!</v>
      </c>
    </row>
    <row r="71" spans="1:17" outlineLevel="1" x14ac:dyDescent="0.25">
      <c r="A71" s="18">
        <v>3401</v>
      </c>
      <c r="B71" s="18" t="s">
        <v>31</v>
      </c>
      <c r="C71" s="35" t="e">
        <f>#REF!</f>
        <v>#REF!</v>
      </c>
      <c r="D71" s="35" t="s">
        <v>255</v>
      </c>
      <c r="E71"/>
      <c r="F71" s="31" t="e">
        <f t="shared" ref="F71:Q71" si="33">$C71*12*(1+F$6)*(F$202-F$199)</f>
        <v>#REF!</v>
      </c>
      <c r="G71" s="31" t="e">
        <f t="shared" si="33"/>
        <v>#REF!</v>
      </c>
      <c r="H71" s="31" t="e">
        <f t="shared" si="33"/>
        <v>#REF!</v>
      </c>
      <c r="I71" s="31" t="e">
        <f t="shared" si="33"/>
        <v>#REF!</v>
      </c>
      <c r="J71" s="31" t="e">
        <f t="shared" si="33"/>
        <v>#REF!</v>
      </c>
      <c r="K71" s="31" t="e">
        <f t="shared" si="33"/>
        <v>#REF!</v>
      </c>
      <c r="L71" s="31" t="e">
        <f t="shared" si="33"/>
        <v>#REF!</v>
      </c>
      <c r="M71" s="31" t="e">
        <f t="shared" si="33"/>
        <v>#REF!</v>
      </c>
      <c r="N71" s="31" t="e">
        <f t="shared" si="33"/>
        <v>#REF!</v>
      </c>
      <c r="O71" s="31" t="e">
        <f t="shared" si="33"/>
        <v>#REF!</v>
      </c>
      <c r="P71" s="31" t="e">
        <f t="shared" si="33"/>
        <v>#REF!</v>
      </c>
      <c r="Q71" s="31" t="e">
        <f t="shared" si="33"/>
        <v>#REF!</v>
      </c>
    </row>
    <row r="72" spans="1:17" outlineLevel="1" x14ac:dyDescent="0.25">
      <c r="A72" s="18">
        <v>3501</v>
      </c>
      <c r="B72" s="18" t="s">
        <v>32</v>
      </c>
      <c r="C72" s="34">
        <v>0.01</v>
      </c>
      <c r="D72" s="34"/>
      <c r="E72"/>
      <c r="F72" s="31" t="e">
        <f t="shared" ref="F72:Q73" si="34">(F$60+F$66)*$C72</f>
        <v>#REF!</v>
      </c>
      <c r="G72" s="31" t="e">
        <f t="shared" si="34"/>
        <v>#REF!</v>
      </c>
      <c r="H72" s="31" t="e">
        <f t="shared" si="34"/>
        <v>#REF!</v>
      </c>
      <c r="I72" s="31" t="e">
        <f t="shared" si="34"/>
        <v>#REF!</v>
      </c>
      <c r="J72" s="31" t="e">
        <f t="shared" si="34"/>
        <v>#REF!</v>
      </c>
      <c r="K72" s="31" t="e">
        <f t="shared" si="34"/>
        <v>#REF!</v>
      </c>
      <c r="L72" s="31" t="e">
        <f t="shared" si="34"/>
        <v>#REF!</v>
      </c>
      <c r="M72" s="31" t="e">
        <f t="shared" si="34"/>
        <v>#REF!</v>
      </c>
      <c r="N72" s="31" t="e">
        <f t="shared" si="34"/>
        <v>#REF!</v>
      </c>
      <c r="O72" s="31" t="e">
        <f t="shared" si="34"/>
        <v>#REF!</v>
      </c>
      <c r="P72" s="31" t="e">
        <f t="shared" si="34"/>
        <v>#REF!</v>
      </c>
      <c r="Q72" s="31" t="e">
        <f t="shared" si="34"/>
        <v>#REF!</v>
      </c>
    </row>
    <row r="73" spans="1:17" outlineLevel="1" x14ac:dyDescent="0.25">
      <c r="A73" s="18">
        <v>3601</v>
      </c>
      <c r="B73" s="18" t="s">
        <v>33</v>
      </c>
      <c r="C73" s="34">
        <v>2.4E-2</v>
      </c>
      <c r="D73" s="34"/>
      <c r="E73"/>
      <c r="F73" s="31" t="e">
        <f t="shared" si="34"/>
        <v>#REF!</v>
      </c>
      <c r="G73" s="31" t="e">
        <f t="shared" si="34"/>
        <v>#REF!</v>
      </c>
      <c r="H73" s="31" t="e">
        <f t="shared" si="34"/>
        <v>#REF!</v>
      </c>
      <c r="I73" s="31" t="e">
        <f t="shared" si="34"/>
        <v>#REF!</v>
      </c>
      <c r="J73" s="31" t="e">
        <f t="shared" si="34"/>
        <v>#REF!</v>
      </c>
      <c r="K73" s="31" t="e">
        <f t="shared" si="34"/>
        <v>#REF!</v>
      </c>
      <c r="L73" s="31" t="e">
        <f t="shared" si="34"/>
        <v>#REF!</v>
      </c>
      <c r="M73" s="31" t="e">
        <f t="shared" si="34"/>
        <v>#REF!</v>
      </c>
      <c r="N73" s="31" t="e">
        <f t="shared" si="34"/>
        <v>#REF!</v>
      </c>
      <c r="O73" s="31" t="e">
        <f t="shared" si="34"/>
        <v>#REF!</v>
      </c>
      <c r="P73" s="31" t="e">
        <f t="shared" si="34"/>
        <v>#REF!</v>
      </c>
      <c r="Q73" s="31" t="e">
        <f t="shared" si="34"/>
        <v>#REF!</v>
      </c>
    </row>
    <row r="74" spans="1:17" outlineLevel="1" x14ac:dyDescent="0.25">
      <c r="A74" s="18">
        <v>3901</v>
      </c>
      <c r="B74" s="18" t="s">
        <v>34</v>
      </c>
      <c r="C74" s="34">
        <v>0.03</v>
      </c>
      <c r="D74" s="34"/>
      <c r="E74"/>
      <c r="F74" s="52" t="e">
        <f>(F$66-F$62)*$C74</f>
        <v>#REF!</v>
      </c>
      <c r="G74" s="52" t="e">
        <f t="shared" ref="G74:Q74" si="35">(G$66-G$62)*$C74</f>
        <v>#REF!</v>
      </c>
      <c r="H74" s="52" t="e">
        <f t="shared" si="35"/>
        <v>#REF!</v>
      </c>
      <c r="I74" s="52" t="e">
        <f t="shared" si="35"/>
        <v>#REF!</v>
      </c>
      <c r="J74" s="52" t="e">
        <f t="shared" si="35"/>
        <v>#REF!</v>
      </c>
      <c r="K74" s="52" t="e">
        <f t="shared" si="35"/>
        <v>#REF!</v>
      </c>
      <c r="L74" s="52" t="e">
        <f t="shared" si="35"/>
        <v>#REF!</v>
      </c>
      <c r="M74" s="52" t="e">
        <f t="shared" si="35"/>
        <v>#REF!</v>
      </c>
      <c r="N74" s="52" t="e">
        <f t="shared" si="35"/>
        <v>#REF!</v>
      </c>
      <c r="O74" s="52" t="e">
        <f t="shared" si="35"/>
        <v>#REF!</v>
      </c>
      <c r="P74" s="52" t="e">
        <f t="shared" si="35"/>
        <v>#REF!</v>
      </c>
      <c r="Q74" s="52" t="e">
        <f t="shared" si="35"/>
        <v>#REF!</v>
      </c>
    </row>
    <row r="75" spans="1:17" x14ac:dyDescent="0.25">
      <c r="A75" s="18">
        <v>200</v>
      </c>
      <c r="B75" s="18" t="s">
        <v>106</v>
      </c>
      <c r="C75" s="18"/>
      <c r="D75" s="18"/>
      <c r="E75"/>
      <c r="F75" s="48" t="e">
        <f>SUM(F68:F74)</f>
        <v>#REF!</v>
      </c>
      <c r="G75" s="48" t="e">
        <f t="shared" ref="G75:Q75" si="36">SUM(G68:G74)</f>
        <v>#REF!</v>
      </c>
      <c r="H75" s="48" t="e">
        <f t="shared" si="36"/>
        <v>#REF!</v>
      </c>
      <c r="I75" s="48" t="e">
        <f t="shared" si="36"/>
        <v>#REF!</v>
      </c>
      <c r="J75" s="48" t="e">
        <f t="shared" si="36"/>
        <v>#REF!</v>
      </c>
      <c r="K75" s="48" t="e">
        <f t="shared" si="36"/>
        <v>#REF!</v>
      </c>
      <c r="L75" s="48" t="e">
        <f t="shared" si="36"/>
        <v>#REF!</v>
      </c>
      <c r="M75" s="48" t="e">
        <f t="shared" si="36"/>
        <v>#REF!</v>
      </c>
      <c r="N75" s="48" t="e">
        <f t="shared" si="36"/>
        <v>#REF!</v>
      </c>
      <c r="O75" s="48" t="e">
        <f t="shared" si="36"/>
        <v>#REF!</v>
      </c>
      <c r="P75" s="48" t="e">
        <f t="shared" si="36"/>
        <v>#REF!</v>
      </c>
      <c r="Q75" s="48" t="e">
        <f t="shared" si="36"/>
        <v>#REF!</v>
      </c>
    </row>
    <row r="76" spans="1:17" outlineLevel="1" x14ac:dyDescent="0.25">
      <c r="A76"/>
      <c r="B76" s="74" t="s">
        <v>37</v>
      </c>
      <c r="C76" t="s">
        <v>298</v>
      </c>
      <c r="D76" s="85">
        <v>175</v>
      </c>
      <c r="E76"/>
      <c r="F76" s="59" t="e">
        <f>$D76*F$186*(1+F$8)</f>
        <v>#REF!</v>
      </c>
      <c r="G76" s="59" t="e">
        <f t="shared" ref="G76:J77" si="37">$D76*(1+G$9)*IF((G$186-F$186)&gt;0,G$186-F$186,0)</f>
        <v>#REF!</v>
      </c>
      <c r="H76" s="59" t="e">
        <f t="shared" si="37"/>
        <v>#REF!</v>
      </c>
      <c r="I76" s="59" t="e">
        <f t="shared" si="37"/>
        <v>#REF!</v>
      </c>
      <c r="J76" s="59" t="e">
        <f t="shared" si="37"/>
        <v>#REF!</v>
      </c>
      <c r="K76" s="59" t="e">
        <f t="shared" ref="K76:Q77" si="38">$D76*(1+K$9)*IF((K$186-J$186)&gt;0,K$186-J$186,0)+(G$76*(1+K$9)*0.75)</f>
        <v>#REF!</v>
      </c>
      <c r="L76" s="59" t="e">
        <f t="shared" si="38"/>
        <v>#REF!</v>
      </c>
      <c r="M76" s="59" t="e">
        <f t="shared" si="38"/>
        <v>#REF!</v>
      </c>
      <c r="N76" s="59" t="e">
        <f t="shared" si="38"/>
        <v>#REF!</v>
      </c>
      <c r="O76" s="59" t="e">
        <f t="shared" si="38"/>
        <v>#REF!</v>
      </c>
      <c r="P76" s="59" t="e">
        <f t="shared" si="38"/>
        <v>#REF!</v>
      </c>
      <c r="Q76" s="59" t="e">
        <f t="shared" si="38"/>
        <v>#REF!</v>
      </c>
    </row>
    <row r="77" spans="1:17" outlineLevel="1" x14ac:dyDescent="0.25">
      <c r="A77"/>
      <c r="B77" s="18" t="s">
        <v>55</v>
      </c>
      <c r="C77" t="s">
        <v>298</v>
      </c>
      <c r="D77" s="85">
        <v>100</v>
      </c>
      <c r="E77"/>
      <c r="F77" s="59" t="e">
        <f>$D77*F$186*(1+F$8)</f>
        <v>#REF!</v>
      </c>
      <c r="G77" s="59" t="e">
        <f t="shared" si="37"/>
        <v>#REF!</v>
      </c>
      <c r="H77" s="59" t="e">
        <f t="shared" si="37"/>
        <v>#REF!</v>
      </c>
      <c r="I77" s="59" t="e">
        <f t="shared" si="37"/>
        <v>#REF!</v>
      </c>
      <c r="J77" s="59" t="e">
        <f t="shared" si="37"/>
        <v>#REF!</v>
      </c>
      <c r="K77" s="59" t="e">
        <f t="shared" si="38"/>
        <v>#REF!</v>
      </c>
      <c r="L77" s="59" t="e">
        <f t="shared" si="38"/>
        <v>#REF!</v>
      </c>
      <c r="M77" s="59" t="e">
        <f t="shared" si="38"/>
        <v>#REF!</v>
      </c>
      <c r="N77" s="59" t="e">
        <f t="shared" si="38"/>
        <v>#REF!</v>
      </c>
      <c r="O77" s="59" t="e">
        <f t="shared" si="38"/>
        <v>#REF!</v>
      </c>
      <c r="P77" s="59" t="e">
        <f t="shared" si="38"/>
        <v>#REF!</v>
      </c>
      <c r="Q77" s="59" t="e">
        <f t="shared" si="38"/>
        <v>#REF!</v>
      </c>
    </row>
    <row r="78" spans="1:17" outlineLevel="1" x14ac:dyDescent="0.25">
      <c r="A78"/>
      <c r="B78" s="18" t="s">
        <v>17</v>
      </c>
      <c r="C78" s="18" t="s">
        <v>17</v>
      </c>
      <c r="D78" s="85">
        <v>0</v>
      </c>
      <c r="E78"/>
      <c r="F78" s="59" t="e">
        <f t="shared" ref="F78:Q78" si="39">IF(F$186&gt;0,$D78*(1+F$9),0)</f>
        <v>#REF!</v>
      </c>
      <c r="G78" s="59" t="e">
        <f t="shared" si="39"/>
        <v>#REF!</v>
      </c>
      <c r="H78" s="59" t="e">
        <f t="shared" si="39"/>
        <v>#REF!</v>
      </c>
      <c r="I78" s="59" t="e">
        <f t="shared" si="39"/>
        <v>#REF!</v>
      </c>
      <c r="J78" s="59" t="e">
        <f t="shared" si="39"/>
        <v>#REF!</v>
      </c>
      <c r="K78" s="59" t="e">
        <f t="shared" si="39"/>
        <v>#REF!</v>
      </c>
      <c r="L78" s="59" t="e">
        <f t="shared" si="39"/>
        <v>#REF!</v>
      </c>
      <c r="M78" s="59" t="e">
        <f t="shared" si="39"/>
        <v>#REF!</v>
      </c>
      <c r="N78" s="59" t="e">
        <f t="shared" si="39"/>
        <v>#REF!</v>
      </c>
      <c r="O78" s="59" t="e">
        <f t="shared" si="39"/>
        <v>#REF!</v>
      </c>
      <c r="P78" s="59" t="e">
        <f t="shared" si="39"/>
        <v>#REF!</v>
      </c>
      <c r="Q78" s="59" t="e">
        <f t="shared" si="39"/>
        <v>#REF!</v>
      </c>
    </row>
    <row r="79" spans="1:17" outlineLevel="1" x14ac:dyDescent="0.25">
      <c r="A79"/>
      <c r="B79" s="18" t="s">
        <v>180</v>
      </c>
      <c r="C79" t="s">
        <v>94</v>
      </c>
      <c r="D79" s="85">
        <f>(75+100)/2</f>
        <v>87.5</v>
      </c>
      <c r="E79"/>
      <c r="F79" s="52" t="e">
        <f t="shared" ref="F79:Q79" si="40">$D79*F$186*(1+F$9)</f>
        <v>#REF!</v>
      </c>
      <c r="G79" s="52" t="e">
        <f t="shared" si="40"/>
        <v>#REF!</v>
      </c>
      <c r="H79" s="52" t="e">
        <f t="shared" si="40"/>
        <v>#REF!</v>
      </c>
      <c r="I79" s="52" t="e">
        <f t="shared" si="40"/>
        <v>#REF!</v>
      </c>
      <c r="J79" s="52" t="e">
        <f t="shared" si="40"/>
        <v>#REF!</v>
      </c>
      <c r="K79" s="52" t="e">
        <f t="shared" si="40"/>
        <v>#REF!</v>
      </c>
      <c r="L79" s="52" t="e">
        <f t="shared" si="40"/>
        <v>#REF!</v>
      </c>
      <c r="M79" s="52" t="e">
        <f t="shared" si="40"/>
        <v>#REF!</v>
      </c>
      <c r="N79" s="52" t="e">
        <f t="shared" si="40"/>
        <v>#REF!</v>
      </c>
      <c r="O79" s="52" t="e">
        <f t="shared" si="40"/>
        <v>#REF!</v>
      </c>
      <c r="P79" s="52" t="e">
        <f t="shared" si="40"/>
        <v>#REF!</v>
      </c>
      <c r="Q79" s="52" t="e">
        <f t="shared" si="40"/>
        <v>#REF!</v>
      </c>
    </row>
    <row r="80" spans="1:17" x14ac:dyDescent="0.25">
      <c r="A80">
        <v>300</v>
      </c>
      <c r="B80" s="18" t="s">
        <v>36</v>
      </c>
      <c r="D80" s="83"/>
      <c r="E80" s="48"/>
      <c r="F80" s="48" t="e">
        <f>SUM(F76:F79)</f>
        <v>#REF!</v>
      </c>
      <c r="G80" s="48" t="e">
        <f t="shared" ref="G80:Q80" si="41">SUM(G76:G79)</f>
        <v>#REF!</v>
      </c>
      <c r="H80" s="48" t="e">
        <f t="shared" si="41"/>
        <v>#REF!</v>
      </c>
      <c r="I80" s="48" t="e">
        <f t="shared" si="41"/>
        <v>#REF!</v>
      </c>
      <c r="J80" s="48" t="e">
        <f t="shared" si="41"/>
        <v>#REF!</v>
      </c>
      <c r="K80" s="48" t="e">
        <f t="shared" si="41"/>
        <v>#REF!</v>
      </c>
      <c r="L80" s="48" t="e">
        <f t="shared" si="41"/>
        <v>#REF!</v>
      </c>
      <c r="M80" s="48" t="e">
        <f t="shared" si="41"/>
        <v>#REF!</v>
      </c>
      <c r="N80" s="48" t="e">
        <f t="shared" si="41"/>
        <v>#REF!</v>
      </c>
      <c r="O80" s="48" t="e">
        <f t="shared" si="41"/>
        <v>#REF!</v>
      </c>
      <c r="P80" s="48" t="e">
        <f t="shared" si="41"/>
        <v>#REF!</v>
      </c>
      <c r="Q80" s="48" t="e">
        <f t="shared" si="41"/>
        <v>#REF!</v>
      </c>
    </row>
    <row r="81" spans="1:17" outlineLevel="1" x14ac:dyDescent="0.25">
      <c r="A81"/>
      <c r="B81" s="18" t="s">
        <v>40</v>
      </c>
      <c r="C81" s="85" t="s">
        <v>94</v>
      </c>
      <c r="D81" s="98">
        <v>50</v>
      </c>
      <c r="E81" s="48"/>
      <c r="F81" s="59" t="e">
        <f t="shared" ref="F81:Q82" si="42">$D81*F$186*(1+F$9)</f>
        <v>#REF!</v>
      </c>
      <c r="G81" s="59" t="e">
        <f t="shared" si="42"/>
        <v>#REF!</v>
      </c>
      <c r="H81" s="59" t="e">
        <f t="shared" si="42"/>
        <v>#REF!</v>
      </c>
      <c r="I81" s="59" t="e">
        <f t="shared" si="42"/>
        <v>#REF!</v>
      </c>
      <c r="J81" s="59" t="e">
        <f t="shared" si="42"/>
        <v>#REF!</v>
      </c>
      <c r="K81" s="59" t="e">
        <f t="shared" si="42"/>
        <v>#REF!</v>
      </c>
      <c r="L81" s="59" t="e">
        <f t="shared" si="42"/>
        <v>#REF!</v>
      </c>
      <c r="M81" s="59" t="e">
        <f t="shared" si="42"/>
        <v>#REF!</v>
      </c>
      <c r="N81" s="59" t="e">
        <f t="shared" si="42"/>
        <v>#REF!</v>
      </c>
      <c r="O81" s="59" t="e">
        <f t="shared" si="42"/>
        <v>#REF!</v>
      </c>
      <c r="P81" s="59" t="e">
        <f t="shared" si="42"/>
        <v>#REF!</v>
      </c>
      <c r="Q81" s="59" t="e">
        <f t="shared" si="42"/>
        <v>#REF!</v>
      </c>
    </row>
    <row r="82" spans="1:17" outlineLevel="1" x14ac:dyDescent="0.25">
      <c r="A82"/>
      <c r="B82" s="18" t="s">
        <v>41</v>
      </c>
      <c r="C82" s="85" t="s">
        <v>94</v>
      </c>
      <c r="D82" s="98">
        <v>0</v>
      </c>
      <c r="E82" s="48"/>
      <c r="F82" s="59" t="e">
        <f t="shared" si="42"/>
        <v>#REF!</v>
      </c>
      <c r="G82" s="59" t="e">
        <f t="shared" si="42"/>
        <v>#REF!</v>
      </c>
      <c r="H82" s="59" t="e">
        <f t="shared" si="42"/>
        <v>#REF!</v>
      </c>
      <c r="I82" s="59" t="e">
        <f t="shared" si="42"/>
        <v>#REF!</v>
      </c>
      <c r="J82" s="59" t="e">
        <f t="shared" si="42"/>
        <v>#REF!</v>
      </c>
      <c r="K82" s="59" t="e">
        <f t="shared" si="42"/>
        <v>#REF!</v>
      </c>
      <c r="L82" s="59" t="e">
        <f t="shared" si="42"/>
        <v>#REF!</v>
      </c>
      <c r="M82" s="59" t="e">
        <f t="shared" si="42"/>
        <v>#REF!</v>
      </c>
      <c r="N82" s="59" t="e">
        <f t="shared" si="42"/>
        <v>#REF!</v>
      </c>
      <c r="O82" s="59" t="e">
        <f t="shared" si="42"/>
        <v>#REF!</v>
      </c>
      <c r="P82" s="59" t="e">
        <f t="shared" si="42"/>
        <v>#REF!</v>
      </c>
      <c r="Q82" s="59" t="e">
        <f t="shared" si="42"/>
        <v>#REF!</v>
      </c>
    </row>
    <row r="83" spans="1:17" outlineLevel="1" x14ac:dyDescent="0.25">
      <c r="A83"/>
      <c r="B83" s="18" t="s">
        <v>324</v>
      </c>
      <c r="C83" s="85" t="s">
        <v>328</v>
      </c>
      <c r="D83" s="98">
        <v>300</v>
      </c>
      <c r="E83" s="48"/>
      <c r="F83" s="59">
        <f t="shared" ref="F83:F88" si="43">$D83*F$201*(1+F$9)</f>
        <v>0</v>
      </c>
      <c r="G83" s="59" t="e">
        <f t="shared" ref="G83:M86" si="44">IF(G$201-F$201&gt;0,($D83*(1+G$9)*ROUNDUP((G$201-F$201),0)),0)</f>
        <v>#REF!</v>
      </c>
      <c r="H83" s="59" t="e">
        <f t="shared" si="44"/>
        <v>#REF!</v>
      </c>
      <c r="I83" s="59" t="e">
        <f t="shared" si="44"/>
        <v>#REF!</v>
      </c>
      <c r="J83" s="59" t="e">
        <f t="shared" si="44"/>
        <v>#REF!</v>
      </c>
      <c r="K83" s="59" t="e">
        <f t="shared" si="44"/>
        <v>#REF!</v>
      </c>
      <c r="L83" s="59" t="e">
        <f t="shared" si="44"/>
        <v>#REF!</v>
      </c>
      <c r="M83" s="59" t="e">
        <f t="shared" si="44"/>
        <v>#REF!</v>
      </c>
      <c r="N83" s="59" t="e">
        <f>IF(N$201-M$201&gt;0,($D83*(1+N$9)*ROUNDUP((N$201-M$201),0)),0)+(I$83*(1+N$9))</f>
        <v>#REF!</v>
      </c>
      <c r="O83" s="59" t="e">
        <f>IF(O$201-N$201&gt;0,($D83*(1+O$9)*ROUNDUP((O$201-N$201),0)),0)+(J$83*(1+O$9))</f>
        <v>#REF!</v>
      </c>
      <c r="P83" s="59" t="e">
        <f>IF(P$201-O$201&gt;0,($D83*(1+P$9)*ROUNDUP((P$201-O$201),0)),0)+(K$83*(1+P$9))</f>
        <v>#REF!</v>
      </c>
      <c r="Q83" s="59" t="e">
        <f>IF(Q$201-P$201&gt;0,($D83*(1+Q$9)*ROUNDUP((Q$201-P$201),0)),0)+(L$83*(1+Q$9))</f>
        <v>#REF!</v>
      </c>
    </row>
    <row r="84" spans="1:17" outlineLevel="1" x14ac:dyDescent="0.25">
      <c r="A84"/>
      <c r="B84" t="s">
        <v>325</v>
      </c>
      <c r="C84" s="85" t="s">
        <v>328</v>
      </c>
      <c r="D84" s="98">
        <v>100</v>
      </c>
      <c r="E84" s="48"/>
      <c r="F84" s="59">
        <f t="shared" si="43"/>
        <v>0</v>
      </c>
      <c r="G84" s="59" t="e">
        <f t="shared" si="44"/>
        <v>#REF!</v>
      </c>
      <c r="H84" s="59" t="e">
        <f t="shared" si="44"/>
        <v>#REF!</v>
      </c>
      <c r="I84" s="59" t="e">
        <f t="shared" si="44"/>
        <v>#REF!</v>
      </c>
      <c r="J84" s="59" t="e">
        <f t="shared" si="44"/>
        <v>#REF!</v>
      </c>
      <c r="K84" s="59" t="e">
        <f t="shared" si="44"/>
        <v>#REF!</v>
      </c>
      <c r="L84" s="59" t="e">
        <f t="shared" si="44"/>
        <v>#REF!</v>
      </c>
      <c r="M84" s="59" t="e">
        <f t="shared" si="44"/>
        <v>#REF!</v>
      </c>
      <c r="N84" s="59" t="e">
        <f t="shared" ref="N84:Q86" si="45">IF(N$201-M$201&gt;0,($D84*(1+N$9)*ROUNDUP((N$201-M$201),0)),0)+(I84*(1+N$9))</f>
        <v>#REF!</v>
      </c>
      <c r="O84" s="59" t="e">
        <f t="shared" si="45"/>
        <v>#REF!</v>
      </c>
      <c r="P84" s="59" t="e">
        <f t="shared" si="45"/>
        <v>#REF!</v>
      </c>
      <c r="Q84" s="59" t="e">
        <f t="shared" si="45"/>
        <v>#REF!</v>
      </c>
    </row>
    <row r="85" spans="1:17" outlineLevel="1" x14ac:dyDescent="0.25">
      <c r="A85"/>
      <c r="B85" t="s">
        <v>316</v>
      </c>
      <c r="C85" s="85" t="s">
        <v>328</v>
      </c>
      <c r="D85" s="98">
        <v>1000</v>
      </c>
      <c r="E85" s="48"/>
      <c r="F85" s="59">
        <f t="shared" si="43"/>
        <v>0</v>
      </c>
      <c r="G85" s="59" t="e">
        <f t="shared" si="44"/>
        <v>#REF!</v>
      </c>
      <c r="H85" s="59" t="e">
        <f t="shared" si="44"/>
        <v>#REF!</v>
      </c>
      <c r="I85" s="59" t="e">
        <f t="shared" si="44"/>
        <v>#REF!</v>
      </c>
      <c r="J85" s="59" t="e">
        <f t="shared" si="44"/>
        <v>#REF!</v>
      </c>
      <c r="K85" s="59" t="e">
        <f t="shared" si="44"/>
        <v>#REF!</v>
      </c>
      <c r="L85" s="59" t="e">
        <f t="shared" si="44"/>
        <v>#REF!</v>
      </c>
      <c r="M85" s="59" t="e">
        <f t="shared" si="44"/>
        <v>#REF!</v>
      </c>
      <c r="N85" s="59" t="e">
        <f t="shared" si="45"/>
        <v>#REF!</v>
      </c>
      <c r="O85" s="59" t="e">
        <f t="shared" si="45"/>
        <v>#REF!</v>
      </c>
      <c r="P85" s="59" t="e">
        <f t="shared" si="45"/>
        <v>#REF!</v>
      </c>
      <c r="Q85" s="59" t="e">
        <f t="shared" si="45"/>
        <v>#REF!</v>
      </c>
    </row>
    <row r="86" spans="1:17" outlineLevel="1" x14ac:dyDescent="0.25">
      <c r="A86"/>
      <c r="B86" t="s">
        <v>317</v>
      </c>
      <c r="C86" s="85" t="s">
        <v>328</v>
      </c>
      <c r="D86" s="98">
        <v>500</v>
      </c>
      <c r="E86" s="48"/>
      <c r="F86" s="59">
        <f t="shared" si="43"/>
        <v>0</v>
      </c>
      <c r="G86" s="59" t="e">
        <f t="shared" si="44"/>
        <v>#REF!</v>
      </c>
      <c r="H86" s="59" t="e">
        <f t="shared" si="44"/>
        <v>#REF!</v>
      </c>
      <c r="I86" s="59" t="e">
        <f t="shared" si="44"/>
        <v>#REF!</v>
      </c>
      <c r="J86" s="59" t="e">
        <f t="shared" si="44"/>
        <v>#REF!</v>
      </c>
      <c r="K86" s="59" t="e">
        <f t="shared" si="44"/>
        <v>#REF!</v>
      </c>
      <c r="L86" s="59" t="e">
        <f t="shared" si="44"/>
        <v>#REF!</v>
      </c>
      <c r="M86" s="59" t="e">
        <f t="shared" si="44"/>
        <v>#REF!</v>
      </c>
      <c r="N86" s="59" t="e">
        <f t="shared" si="45"/>
        <v>#REF!</v>
      </c>
      <c r="O86" s="59" t="e">
        <f t="shared" si="45"/>
        <v>#REF!</v>
      </c>
      <c r="P86" s="59" t="e">
        <f t="shared" si="45"/>
        <v>#REF!</v>
      </c>
      <c r="Q86" s="59" t="e">
        <f t="shared" si="45"/>
        <v>#REF!</v>
      </c>
    </row>
    <row r="87" spans="1:17" outlineLevel="1" x14ac:dyDescent="0.25">
      <c r="A87"/>
      <c r="B87" t="s">
        <v>318</v>
      </c>
      <c r="C87" s="85" t="s">
        <v>329</v>
      </c>
      <c r="D87" s="98">
        <v>2000</v>
      </c>
      <c r="E87" s="48"/>
      <c r="F87" s="59">
        <f t="shared" si="43"/>
        <v>0</v>
      </c>
      <c r="G87" s="59"/>
      <c r="H87" s="59"/>
      <c r="I87" s="59">
        <f>$D87*(1+I$9)</f>
        <v>2120</v>
      </c>
      <c r="J87" s="59"/>
      <c r="K87" s="59"/>
      <c r="L87" s="59"/>
      <c r="M87" s="59"/>
      <c r="N87" s="59">
        <f>$D87*(1+N$9)</f>
        <v>2320</v>
      </c>
      <c r="O87" s="59"/>
      <c r="P87" s="59"/>
      <c r="Q87" s="59"/>
    </row>
    <row r="88" spans="1:17" outlineLevel="1" x14ac:dyDescent="0.25">
      <c r="A88"/>
      <c r="B88" t="s">
        <v>319</v>
      </c>
      <c r="C88" s="85" t="s">
        <v>328</v>
      </c>
      <c r="D88" s="98">
        <v>200</v>
      </c>
      <c r="E88" s="48"/>
      <c r="F88" s="59">
        <f t="shared" si="43"/>
        <v>0</v>
      </c>
      <c r="G88" s="59" t="e">
        <f t="shared" ref="G88:M88" si="46">IF(G$201-F$201&gt;0,($D88*(1+G$9)*ROUNDUP((G$201-F$201),0)),0)</f>
        <v>#REF!</v>
      </c>
      <c r="H88" s="59" t="e">
        <f t="shared" si="46"/>
        <v>#REF!</v>
      </c>
      <c r="I88" s="59" t="e">
        <f t="shared" si="46"/>
        <v>#REF!</v>
      </c>
      <c r="J88" s="59" t="e">
        <f t="shared" si="46"/>
        <v>#REF!</v>
      </c>
      <c r="K88" s="59" t="e">
        <f t="shared" si="46"/>
        <v>#REF!</v>
      </c>
      <c r="L88" s="59" t="e">
        <f t="shared" si="46"/>
        <v>#REF!</v>
      </c>
      <c r="M88" s="59" t="e">
        <f t="shared" si="46"/>
        <v>#REF!</v>
      </c>
      <c r="N88" s="59" t="e">
        <f>IF(N$201-M$201&gt;0,($D88*(1+N$9)*ROUNDUP((N$201-M$201),0)),0)+(I88*(1+N$9))</f>
        <v>#REF!</v>
      </c>
      <c r="O88" s="59" t="e">
        <f>IF(O$201-N$201&gt;0,($D88*(1+O$9)*ROUNDUP((O$201-N$201),0)),0)+(J88*(1+O$9))</f>
        <v>#REF!</v>
      </c>
      <c r="P88" s="59" t="e">
        <f>IF(P$201-O$201&gt;0,($D88*(1+P$9)*ROUNDUP((P$201-O$201),0)),0)+(K88*(1+P$9))</f>
        <v>#REF!</v>
      </c>
      <c r="Q88" s="59" t="e">
        <f>IF(Q$201-P$201&gt;0,($D88*(1+Q$9)*ROUNDUP((Q$201-P$201),0)),0)+(L88*(1+Q$9))</f>
        <v>#REF!</v>
      </c>
    </row>
    <row r="89" spans="1:17" x14ac:dyDescent="0.25">
      <c r="A89">
        <v>350</v>
      </c>
      <c r="B89" s="18" t="s">
        <v>40</v>
      </c>
      <c r="E89"/>
      <c r="F89" s="48" t="e">
        <f t="shared" ref="F89:Q89" si="47">SUM(F81:F88)</f>
        <v>#REF!</v>
      </c>
      <c r="G89" s="48" t="e">
        <f t="shared" si="47"/>
        <v>#REF!</v>
      </c>
      <c r="H89" s="48" t="e">
        <f t="shared" si="47"/>
        <v>#REF!</v>
      </c>
      <c r="I89" s="48" t="e">
        <f t="shared" si="47"/>
        <v>#REF!</v>
      </c>
      <c r="J89" s="48" t="e">
        <f t="shared" si="47"/>
        <v>#REF!</v>
      </c>
      <c r="K89" s="48" t="e">
        <f t="shared" si="47"/>
        <v>#REF!</v>
      </c>
      <c r="L89" s="48" t="e">
        <f t="shared" si="47"/>
        <v>#REF!</v>
      </c>
      <c r="M89" s="48" t="e">
        <f t="shared" si="47"/>
        <v>#REF!</v>
      </c>
      <c r="N89" s="48" t="e">
        <f t="shared" si="47"/>
        <v>#REF!</v>
      </c>
      <c r="O89" s="48" t="e">
        <f t="shared" si="47"/>
        <v>#REF!</v>
      </c>
      <c r="P89" s="48" t="e">
        <f t="shared" si="47"/>
        <v>#REF!</v>
      </c>
      <c r="Q89" s="48" t="e">
        <f t="shared" si="47"/>
        <v>#REF!</v>
      </c>
    </row>
    <row r="90" spans="1:17" outlineLevel="1" x14ac:dyDescent="0.25">
      <c r="A90"/>
      <c r="B90" s="18"/>
      <c r="E90" s="67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7" outlineLevel="1" x14ac:dyDescent="0.25">
      <c r="A91"/>
      <c r="B91" s="18" t="s">
        <v>97</v>
      </c>
      <c r="C91" s="85" t="s">
        <v>102</v>
      </c>
      <c r="D91" s="149"/>
      <c r="E91" s="67"/>
      <c r="F91" s="48" t="e">
        <f>$D91*F$186*(1+F$9)</f>
        <v>#REF!</v>
      </c>
      <c r="G91" s="48" t="e">
        <f>$D91*(G$186-F$186)*(1+G$9)</f>
        <v>#REF!</v>
      </c>
      <c r="H91" s="48" t="e">
        <f t="shared" ref="H91:Q92" si="48">$D91*(H$186-G$186)*(1+H$9)</f>
        <v>#REF!</v>
      </c>
      <c r="I91" s="48" t="e">
        <f t="shared" si="48"/>
        <v>#REF!</v>
      </c>
      <c r="J91" s="48" t="e">
        <f t="shared" si="48"/>
        <v>#REF!</v>
      </c>
      <c r="K91" s="48" t="e">
        <f t="shared" si="48"/>
        <v>#REF!</v>
      </c>
      <c r="L91" s="48" t="e">
        <f t="shared" si="48"/>
        <v>#REF!</v>
      </c>
      <c r="M91" s="48" t="e">
        <f t="shared" si="48"/>
        <v>#REF!</v>
      </c>
      <c r="N91" s="48" t="e">
        <f t="shared" si="48"/>
        <v>#REF!</v>
      </c>
      <c r="O91" s="48" t="e">
        <f t="shared" si="48"/>
        <v>#REF!</v>
      </c>
      <c r="P91" s="48" t="e">
        <f t="shared" si="48"/>
        <v>#REF!</v>
      </c>
      <c r="Q91" s="48" t="e">
        <f t="shared" si="48"/>
        <v>#REF!</v>
      </c>
    </row>
    <row r="92" spans="1:17" outlineLevel="1" x14ac:dyDescent="0.25">
      <c r="A92"/>
      <c r="B92" s="18" t="s">
        <v>98</v>
      </c>
      <c r="C92" s="85" t="s">
        <v>102</v>
      </c>
      <c r="D92" s="149"/>
      <c r="E92" s="67"/>
      <c r="F92" s="48" t="e">
        <f>$D92*F$186*(1+F$9)</f>
        <v>#REF!</v>
      </c>
      <c r="G92" s="48" t="e">
        <f>$D92*(G$186-F$186)*(1+G$9)</f>
        <v>#REF!</v>
      </c>
      <c r="H92" s="48" t="e">
        <f t="shared" si="48"/>
        <v>#REF!</v>
      </c>
      <c r="I92" s="48" t="e">
        <f t="shared" si="48"/>
        <v>#REF!</v>
      </c>
      <c r="J92" s="48" t="e">
        <f t="shared" si="48"/>
        <v>#REF!</v>
      </c>
      <c r="K92" s="48" t="e">
        <f t="shared" si="48"/>
        <v>#REF!</v>
      </c>
      <c r="L92" s="48" t="e">
        <f t="shared" si="48"/>
        <v>#REF!</v>
      </c>
      <c r="M92" s="48" t="e">
        <f t="shared" si="48"/>
        <v>#REF!</v>
      </c>
      <c r="N92" s="48" t="e">
        <f t="shared" si="48"/>
        <v>#REF!</v>
      </c>
      <c r="O92" s="48" t="e">
        <f t="shared" si="48"/>
        <v>#REF!</v>
      </c>
      <c r="P92" s="48" t="e">
        <f t="shared" si="48"/>
        <v>#REF!</v>
      </c>
      <c r="Q92" s="48" t="e">
        <f t="shared" si="48"/>
        <v>#REF!</v>
      </c>
    </row>
    <row r="93" spans="1:17" s="2" customFormat="1" outlineLevel="1" x14ac:dyDescent="0.25">
      <c r="B93" s="18" t="s">
        <v>99</v>
      </c>
      <c r="C93" s="85" t="s">
        <v>103</v>
      </c>
      <c r="D93" s="96">
        <v>750</v>
      </c>
      <c r="E93" s="161"/>
      <c r="F93" s="10" t="e">
        <f t="shared" ref="F93:F103" si="49">+IF(F$197-E$197&gt;0,ROUNDUP((F$197-E$197),0)*$D93*(1+F$9),0)</f>
        <v>#REF!</v>
      </c>
      <c r="G93" s="10" t="e">
        <f t="shared" ref="G93:K103" si="50">+IF(G$197-F$197&gt;0,ROUNDUP((G$197-F$197),0)*$D93*(1+G$9),0)</f>
        <v>#REF!</v>
      </c>
      <c r="H93" s="10" t="e">
        <f t="shared" si="50"/>
        <v>#REF!</v>
      </c>
      <c r="I93" s="10" t="e">
        <f t="shared" si="50"/>
        <v>#REF!</v>
      </c>
      <c r="J93" s="10" t="e">
        <f t="shared" si="50"/>
        <v>#REF!</v>
      </c>
      <c r="K93" s="10" t="e">
        <f t="shared" si="50"/>
        <v>#REF!</v>
      </c>
      <c r="L93" s="10" t="e">
        <f t="shared" ref="L93:Q93" si="51">+IF(L$197-K$197&gt;0,ROUNDUP((L$197-K$197),0)*$D93*(1+L$9),0)+(I93*(1+L$9))</f>
        <v>#REF!</v>
      </c>
      <c r="M93" s="10" t="e">
        <f t="shared" si="51"/>
        <v>#REF!</v>
      </c>
      <c r="N93" s="10" t="e">
        <f t="shared" si="51"/>
        <v>#REF!</v>
      </c>
      <c r="O93" s="10" t="e">
        <f t="shared" si="51"/>
        <v>#REF!</v>
      </c>
      <c r="P93" s="10" t="e">
        <f t="shared" si="51"/>
        <v>#REF!</v>
      </c>
      <c r="Q93" s="10" t="e">
        <f t="shared" si="51"/>
        <v>#REF!</v>
      </c>
    </row>
    <row r="94" spans="1:17" s="2" customFormat="1" outlineLevel="1" x14ac:dyDescent="0.25">
      <c r="B94" s="18" t="s">
        <v>100</v>
      </c>
      <c r="C94" s="85" t="s">
        <v>103</v>
      </c>
      <c r="D94" s="96">
        <v>100</v>
      </c>
      <c r="E94" s="161"/>
      <c r="F94" s="10" t="e">
        <f t="shared" si="49"/>
        <v>#REF!</v>
      </c>
      <c r="G94" s="10" t="e">
        <f t="shared" si="50"/>
        <v>#REF!</v>
      </c>
      <c r="H94" s="10" t="e">
        <f t="shared" si="50"/>
        <v>#REF!</v>
      </c>
      <c r="I94" s="10" t="e">
        <f t="shared" si="50"/>
        <v>#REF!</v>
      </c>
      <c r="J94" s="10" t="e">
        <f t="shared" si="50"/>
        <v>#REF!</v>
      </c>
      <c r="K94" s="10" t="e">
        <f t="shared" si="50"/>
        <v>#REF!</v>
      </c>
      <c r="L94" s="10" t="e">
        <f t="shared" ref="L94:Q94" si="52">+IF(L$197-K$197&gt;0,ROUNDUP((L$197-K$197),0)*$D94*(1+L$9),0)+(I94*(1+L$9))</f>
        <v>#REF!</v>
      </c>
      <c r="M94" s="10" t="e">
        <f t="shared" si="52"/>
        <v>#REF!</v>
      </c>
      <c r="N94" s="10" t="e">
        <f t="shared" si="52"/>
        <v>#REF!</v>
      </c>
      <c r="O94" s="10" t="e">
        <f t="shared" si="52"/>
        <v>#REF!</v>
      </c>
      <c r="P94" s="10" t="e">
        <f t="shared" si="52"/>
        <v>#REF!</v>
      </c>
      <c r="Q94" s="10" t="e">
        <f t="shared" si="52"/>
        <v>#REF!</v>
      </c>
    </row>
    <row r="95" spans="1:17" s="2" customFormat="1" outlineLevel="1" x14ac:dyDescent="0.25">
      <c r="B95" s="18" t="s">
        <v>322</v>
      </c>
      <c r="C95" s="85" t="s">
        <v>327</v>
      </c>
      <c r="D95" s="85">
        <v>300</v>
      </c>
      <c r="E95" s="161"/>
      <c r="F95" s="10" t="e">
        <f t="shared" si="49"/>
        <v>#REF!</v>
      </c>
      <c r="G95" s="10" t="e">
        <f t="shared" si="50"/>
        <v>#REF!</v>
      </c>
      <c r="H95" s="10" t="e">
        <f t="shared" si="50"/>
        <v>#REF!</v>
      </c>
      <c r="I95" s="10" t="e">
        <f t="shared" si="50"/>
        <v>#REF!</v>
      </c>
      <c r="J95" s="10" t="e">
        <f t="shared" si="50"/>
        <v>#REF!</v>
      </c>
      <c r="K95" s="10" t="e">
        <f t="shared" si="50"/>
        <v>#REF!</v>
      </c>
      <c r="L95" s="10" t="e">
        <f t="shared" ref="L95:M100" si="53">+IF(L$197-K$197&gt;0,ROUNDUP((L$197-K$197),0)*$D95*(1+L$9),0)</f>
        <v>#REF!</v>
      </c>
      <c r="M95" s="10" t="e">
        <f t="shared" si="53"/>
        <v>#REF!</v>
      </c>
      <c r="N95" s="10" t="e">
        <f t="shared" ref="N95:Q99" si="54">+IF(N$197-M$197&gt;0,ROUNDUP((N$197-M$197),0)*$D95*(1+N$9),0)+(I95*(1+N$9))</f>
        <v>#REF!</v>
      </c>
      <c r="O95" s="10" t="e">
        <f t="shared" si="54"/>
        <v>#REF!</v>
      </c>
      <c r="P95" s="10" t="e">
        <f t="shared" si="54"/>
        <v>#REF!</v>
      </c>
      <c r="Q95" s="10" t="e">
        <f t="shared" si="54"/>
        <v>#REF!</v>
      </c>
    </row>
    <row r="96" spans="1:17" s="2" customFormat="1" outlineLevel="1" x14ac:dyDescent="0.25">
      <c r="B96" s="18" t="s">
        <v>323</v>
      </c>
      <c r="C96" s="85" t="s">
        <v>327</v>
      </c>
      <c r="D96" s="85">
        <v>100</v>
      </c>
      <c r="E96" s="161"/>
      <c r="F96" s="10" t="e">
        <f t="shared" si="49"/>
        <v>#REF!</v>
      </c>
      <c r="G96" s="10" t="e">
        <f t="shared" si="50"/>
        <v>#REF!</v>
      </c>
      <c r="H96" s="10" t="e">
        <f t="shared" si="50"/>
        <v>#REF!</v>
      </c>
      <c r="I96" s="10" t="e">
        <f t="shared" si="50"/>
        <v>#REF!</v>
      </c>
      <c r="J96" s="10" t="e">
        <f t="shared" si="50"/>
        <v>#REF!</v>
      </c>
      <c r="K96" s="10" t="e">
        <f t="shared" si="50"/>
        <v>#REF!</v>
      </c>
      <c r="L96" s="10" t="e">
        <f t="shared" si="53"/>
        <v>#REF!</v>
      </c>
      <c r="M96" s="10" t="e">
        <f t="shared" si="53"/>
        <v>#REF!</v>
      </c>
      <c r="N96" s="10" t="e">
        <f t="shared" si="54"/>
        <v>#REF!</v>
      </c>
      <c r="O96" s="10" t="e">
        <f t="shared" si="54"/>
        <v>#REF!</v>
      </c>
      <c r="P96" s="10" t="e">
        <f t="shared" si="54"/>
        <v>#REF!</v>
      </c>
      <c r="Q96" s="10" t="e">
        <f t="shared" si="54"/>
        <v>#REF!</v>
      </c>
    </row>
    <row r="97" spans="1:17" s="2" customFormat="1" outlineLevel="1" x14ac:dyDescent="0.25">
      <c r="B97" s="18" t="s">
        <v>311</v>
      </c>
      <c r="C97" s="85" t="s">
        <v>327</v>
      </c>
      <c r="D97" s="85">
        <v>75</v>
      </c>
      <c r="E97" s="161"/>
      <c r="F97" s="10" t="e">
        <f t="shared" si="49"/>
        <v>#REF!</v>
      </c>
      <c r="G97" s="10" t="e">
        <f t="shared" si="50"/>
        <v>#REF!</v>
      </c>
      <c r="H97" s="10" t="e">
        <f t="shared" si="50"/>
        <v>#REF!</v>
      </c>
      <c r="I97" s="10" t="e">
        <f t="shared" si="50"/>
        <v>#REF!</v>
      </c>
      <c r="J97" s="10" t="e">
        <f t="shared" si="50"/>
        <v>#REF!</v>
      </c>
      <c r="K97" s="10" t="e">
        <f t="shared" si="50"/>
        <v>#REF!</v>
      </c>
      <c r="L97" s="10" t="e">
        <f t="shared" si="53"/>
        <v>#REF!</v>
      </c>
      <c r="M97" s="10" t="e">
        <f t="shared" si="53"/>
        <v>#REF!</v>
      </c>
      <c r="N97" s="10" t="e">
        <f t="shared" si="54"/>
        <v>#REF!</v>
      </c>
      <c r="O97" s="10" t="e">
        <f t="shared" si="54"/>
        <v>#REF!</v>
      </c>
      <c r="P97" s="10" t="e">
        <f t="shared" si="54"/>
        <v>#REF!</v>
      </c>
      <c r="Q97" s="10" t="e">
        <f t="shared" si="54"/>
        <v>#REF!</v>
      </c>
    </row>
    <row r="98" spans="1:17" s="2" customFormat="1" outlineLevel="1" x14ac:dyDescent="0.25">
      <c r="B98" s="18" t="s">
        <v>312</v>
      </c>
      <c r="C98" s="85" t="s">
        <v>327</v>
      </c>
      <c r="D98" s="85">
        <v>150</v>
      </c>
      <c r="E98" s="161"/>
      <c r="F98" s="10" t="e">
        <f t="shared" si="49"/>
        <v>#REF!</v>
      </c>
      <c r="G98" s="10" t="e">
        <f t="shared" si="50"/>
        <v>#REF!</v>
      </c>
      <c r="H98" s="10" t="e">
        <f t="shared" si="50"/>
        <v>#REF!</v>
      </c>
      <c r="I98" s="10" t="e">
        <f t="shared" si="50"/>
        <v>#REF!</v>
      </c>
      <c r="J98" s="10" t="e">
        <f t="shared" si="50"/>
        <v>#REF!</v>
      </c>
      <c r="K98" s="10" t="e">
        <f t="shared" si="50"/>
        <v>#REF!</v>
      </c>
      <c r="L98" s="10" t="e">
        <f t="shared" si="53"/>
        <v>#REF!</v>
      </c>
      <c r="M98" s="10" t="e">
        <f t="shared" si="53"/>
        <v>#REF!</v>
      </c>
      <c r="N98" s="10" t="e">
        <f t="shared" si="54"/>
        <v>#REF!</v>
      </c>
      <c r="O98" s="10" t="e">
        <f t="shared" si="54"/>
        <v>#REF!</v>
      </c>
      <c r="P98" s="10" t="e">
        <f t="shared" si="54"/>
        <v>#REF!</v>
      </c>
      <c r="Q98" s="10" t="e">
        <f t="shared" si="54"/>
        <v>#REF!</v>
      </c>
    </row>
    <row r="99" spans="1:17" s="2" customFormat="1" outlineLevel="1" x14ac:dyDescent="0.25">
      <c r="B99" s="2" t="s">
        <v>320</v>
      </c>
      <c r="C99" s="85" t="s">
        <v>327</v>
      </c>
      <c r="D99" s="96">
        <v>1600</v>
      </c>
      <c r="E99" s="161"/>
      <c r="F99" s="10" t="e">
        <f t="shared" si="49"/>
        <v>#REF!</v>
      </c>
      <c r="G99" s="10" t="e">
        <f t="shared" si="50"/>
        <v>#REF!</v>
      </c>
      <c r="H99" s="10" t="e">
        <f t="shared" si="50"/>
        <v>#REF!</v>
      </c>
      <c r="I99" s="10" t="e">
        <f t="shared" si="50"/>
        <v>#REF!</v>
      </c>
      <c r="J99" s="10" t="e">
        <f t="shared" si="50"/>
        <v>#REF!</v>
      </c>
      <c r="K99" s="10" t="e">
        <f t="shared" si="50"/>
        <v>#REF!</v>
      </c>
      <c r="L99" s="10" t="e">
        <f t="shared" si="53"/>
        <v>#REF!</v>
      </c>
      <c r="M99" s="10" t="e">
        <f t="shared" si="53"/>
        <v>#REF!</v>
      </c>
      <c r="N99" s="10" t="e">
        <f t="shared" si="54"/>
        <v>#REF!</v>
      </c>
      <c r="O99" s="10" t="e">
        <f t="shared" si="54"/>
        <v>#REF!</v>
      </c>
      <c r="P99" s="10" t="e">
        <f t="shared" si="54"/>
        <v>#REF!</v>
      </c>
      <c r="Q99" s="10" t="e">
        <f t="shared" si="54"/>
        <v>#REF!</v>
      </c>
    </row>
    <row r="100" spans="1:17" s="2" customFormat="1" outlineLevel="1" x14ac:dyDescent="0.25">
      <c r="B100" s="18" t="s">
        <v>321</v>
      </c>
      <c r="C100" s="85" t="s">
        <v>327</v>
      </c>
      <c r="D100" s="96">
        <v>250</v>
      </c>
      <c r="E100" s="161"/>
      <c r="F100" s="10" t="e">
        <f t="shared" si="49"/>
        <v>#REF!</v>
      </c>
      <c r="G100" s="10" t="e">
        <f t="shared" si="50"/>
        <v>#REF!</v>
      </c>
      <c r="H100" s="10" t="e">
        <f t="shared" si="50"/>
        <v>#REF!</v>
      </c>
      <c r="I100" s="10" t="e">
        <f t="shared" si="50"/>
        <v>#REF!</v>
      </c>
      <c r="J100" s="10" t="e">
        <f t="shared" si="50"/>
        <v>#REF!</v>
      </c>
      <c r="K100" s="10" t="e">
        <f t="shared" si="50"/>
        <v>#REF!</v>
      </c>
      <c r="L100" s="10" t="e">
        <f t="shared" si="53"/>
        <v>#REF!</v>
      </c>
      <c r="M100" s="10" t="e">
        <f t="shared" si="53"/>
        <v>#REF!</v>
      </c>
      <c r="N100" s="10" t="e">
        <f>+IF(N$197-M$197&gt;0,ROUNDUP((N$197-M$197),0)*$D100*(1+N$9),0)+(I100*(1+N$9))</f>
        <v>#REF!</v>
      </c>
      <c r="O100" s="10" t="e">
        <f>+IF(O$197-N$197&gt;0,ROUNDUP((O$197-N$197),0)*$D100*(1+O$9),0)+(J100*(1+O$9))</f>
        <v>#REF!</v>
      </c>
      <c r="P100" s="10" t="e">
        <f>+IF(P$197-O$197&gt;0,ROUNDUP((P$197-O$197),0)*$D100*(1+P$9),0)+(K100*(1+P$9))</f>
        <v>#REF!</v>
      </c>
      <c r="Q100" s="10" t="e">
        <f>+IF(Q$197-P$197&gt;0,ROUNDUP((Q$197-P$197),0)*$D100*(1+Q$9),0)+(L100*(1+Q$9))</f>
        <v>#REF!</v>
      </c>
    </row>
    <row r="101" spans="1:17" s="2" customFormat="1" outlineLevel="1" x14ac:dyDescent="0.25">
      <c r="B101" s="18" t="s">
        <v>313</v>
      </c>
      <c r="C101" s="85" t="s">
        <v>103</v>
      </c>
      <c r="D101" s="96">
        <v>150</v>
      </c>
      <c r="E101" s="161"/>
      <c r="F101" s="10" t="e">
        <f t="shared" si="49"/>
        <v>#REF!</v>
      </c>
      <c r="G101" s="10" t="e">
        <f t="shared" si="50"/>
        <v>#REF!</v>
      </c>
      <c r="H101" s="10" t="e">
        <f t="shared" si="50"/>
        <v>#REF!</v>
      </c>
      <c r="I101" s="10" t="e">
        <f t="shared" si="50"/>
        <v>#REF!</v>
      </c>
      <c r="J101" s="10" t="e">
        <f t="shared" si="50"/>
        <v>#REF!</v>
      </c>
      <c r="K101" s="10" t="e">
        <f t="shared" si="50"/>
        <v>#REF!</v>
      </c>
      <c r="L101" s="10" t="e">
        <f t="shared" ref="L101:Q101" si="55">+IF(L$197-K$197&gt;0,ROUNDUP((L$197-K$197),0)*$D101*(1+L$9),0)+(I101*(1+L$9))</f>
        <v>#REF!</v>
      </c>
      <c r="M101" s="10" t="e">
        <f t="shared" si="55"/>
        <v>#REF!</v>
      </c>
      <c r="N101" s="10" t="e">
        <f t="shared" si="55"/>
        <v>#REF!</v>
      </c>
      <c r="O101" s="10" t="e">
        <f t="shared" si="55"/>
        <v>#REF!</v>
      </c>
      <c r="P101" s="10" t="e">
        <f t="shared" si="55"/>
        <v>#REF!</v>
      </c>
      <c r="Q101" s="10" t="e">
        <f t="shared" si="55"/>
        <v>#REF!</v>
      </c>
    </row>
    <row r="102" spans="1:17" s="2" customFormat="1" outlineLevel="1" x14ac:dyDescent="0.25">
      <c r="B102" s="2" t="s">
        <v>314</v>
      </c>
      <c r="C102" s="85" t="s">
        <v>327</v>
      </c>
      <c r="D102" s="96">
        <v>50</v>
      </c>
      <c r="E102" s="161"/>
      <c r="F102" s="10" t="e">
        <f t="shared" si="49"/>
        <v>#REF!</v>
      </c>
      <c r="G102" s="10" t="e">
        <f t="shared" si="50"/>
        <v>#REF!</v>
      </c>
      <c r="H102" s="10" t="e">
        <f t="shared" si="50"/>
        <v>#REF!</v>
      </c>
      <c r="I102" s="10" t="e">
        <f t="shared" si="50"/>
        <v>#REF!</v>
      </c>
      <c r="J102" s="10" t="e">
        <f t="shared" si="50"/>
        <v>#REF!</v>
      </c>
      <c r="K102" s="10" t="e">
        <f t="shared" si="50"/>
        <v>#REF!</v>
      </c>
      <c r="L102" s="10" t="e">
        <f>+IF(L$197-K$197&gt;0,ROUNDUP((L$197-K$197),0)*$D102*(1+L$9),0)</f>
        <v>#REF!</v>
      </c>
      <c r="M102" s="10" t="e">
        <f>+IF(M$197-L$197&gt;0,ROUNDUP((M$197-L$197),0)*$D102*(1+M$9),0)</f>
        <v>#REF!</v>
      </c>
      <c r="N102" s="10" t="e">
        <f t="shared" ref="N102:Q103" si="56">+IF(N$197-M$197&gt;0,ROUNDUP((N$197-M$197),0)*$D102*(1+N$9),0)+(I102*(1+N$9))</f>
        <v>#REF!</v>
      </c>
      <c r="O102" s="10" t="e">
        <f t="shared" si="56"/>
        <v>#REF!</v>
      </c>
      <c r="P102" s="10" t="e">
        <f t="shared" si="56"/>
        <v>#REF!</v>
      </c>
      <c r="Q102" s="10" t="e">
        <f t="shared" si="56"/>
        <v>#REF!</v>
      </c>
    </row>
    <row r="103" spans="1:17" s="2" customFormat="1" outlineLevel="1" x14ac:dyDescent="0.25">
      <c r="B103" s="2" t="s">
        <v>315</v>
      </c>
      <c r="C103" s="85" t="s">
        <v>327</v>
      </c>
      <c r="D103" s="96">
        <v>25</v>
      </c>
      <c r="E103" s="161"/>
      <c r="F103" s="10" t="e">
        <f t="shared" si="49"/>
        <v>#REF!</v>
      </c>
      <c r="G103" s="10" t="e">
        <f t="shared" si="50"/>
        <v>#REF!</v>
      </c>
      <c r="H103" s="10" t="e">
        <f t="shared" si="50"/>
        <v>#REF!</v>
      </c>
      <c r="I103" s="10" t="e">
        <f t="shared" si="50"/>
        <v>#REF!</v>
      </c>
      <c r="J103" s="10" t="e">
        <f t="shared" si="50"/>
        <v>#REF!</v>
      </c>
      <c r="K103" s="10" t="e">
        <f t="shared" si="50"/>
        <v>#REF!</v>
      </c>
      <c r="L103" s="10" t="e">
        <f>+IF(L$197-K$197&gt;0,ROUNDUP((L$197-K$197),0)*$D103*(1+L$9),0)</f>
        <v>#REF!</v>
      </c>
      <c r="M103" s="10" t="e">
        <f>+IF(M$197-L$197&gt;0,ROUNDUP((M$197-L$197),0)*$D103*(1+M$9),0)</f>
        <v>#REF!</v>
      </c>
      <c r="N103" s="10" t="e">
        <f t="shared" si="56"/>
        <v>#REF!</v>
      </c>
      <c r="O103" s="10" t="e">
        <f t="shared" si="56"/>
        <v>#REF!</v>
      </c>
      <c r="P103" s="10" t="e">
        <f t="shared" si="56"/>
        <v>#REF!</v>
      </c>
      <c r="Q103" s="10" t="e">
        <f t="shared" si="56"/>
        <v>#REF!</v>
      </c>
    </row>
    <row r="104" spans="1:17" s="2" customFormat="1" outlineLevel="1" x14ac:dyDescent="0.25">
      <c r="B104" s="18" t="s">
        <v>308</v>
      </c>
      <c r="C104" s="85" t="s">
        <v>326</v>
      </c>
      <c r="D104" s="96">
        <v>35</v>
      </c>
      <c r="E104" s="161"/>
      <c r="F104" s="10" t="e">
        <f>+IF(F$186-E$186&gt;0,ROUNDUP((F$186-E$186),0)*$D104*(1+F$9),0)</f>
        <v>#REF!</v>
      </c>
      <c r="G104" s="10" t="e">
        <f t="shared" ref="G104:M104" si="57">+IF(G$186-F$186&gt;0,ROUNDUP((G$186-F$186),0)*$D104*(1+G$9),0)</f>
        <v>#REF!</v>
      </c>
      <c r="H104" s="10" t="e">
        <f t="shared" si="57"/>
        <v>#REF!</v>
      </c>
      <c r="I104" s="10" t="e">
        <f t="shared" si="57"/>
        <v>#REF!</v>
      </c>
      <c r="J104" s="10" t="e">
        <f t="shared" si="57"/>
        <v>#REF!</v>
      </c>
      <c r="K104" s="10" t="e">
        <f t="shared" si="57"/>
        <v>#REF!</v>
      </c>
      <c r="L104" s="10" t="e">
        <f t="shared" si="57"/>
        <v>#REF!</v>
      </c>
      <c r="M104" s="10" t="e">
        <f t="shared" si="57"/>
        <v>#REF!</v>
      </c>
      <c r="N104" s="10" t="e">
        <f t="shared" ref="N104:Q106" si="58">+IF(N$186-M$186&gt;0,ROUNDUP((N$186-M$186),0)*$D104*(1+N$9),0)+(I104*(1+N$9))</f>
        <v>#REF!</v>
      </c>
      <c r="O104" s="10" t="e">
        <f t="shared" si="58"/>
        <v>#REF!</v>
      </c>
      <c r="P104" s="10" t="e">
        <f t="shared" si="58"/>
        <v>#REF!</v>
      </c>
      <c r="Q104" s="10" t="e">
        <f t="shared" si="58"/>
        <v>#REF!</v>
      </c>
    </row>
    <row r="105" spans="1:17" s="2" customFormat="1" outlineLevel="1" x14ac:dyDescent="0.25">
      <c r="B105" s="18" t="s">
        <v>309</v>
      </c>
      <c r="C105" s="85" t="s">
        <v>326</v>
      </c>
      <c r="D105" s="96">
        <v>125</v>
      </c>
      <c r="E105" s="161"/>
      <c r="F105" s="10" t="e">
        <f t="shared" ref="F105:M105" si="59">+IF(F$186-E$186&gt;0,ROUNDUP((F$186-E$186),0)*$D105*(1+F$9),0)</f>
        <v>#REF!</v>
      </c>
      <c r="G105" s="10" t="e">
        <f t="shared" si="59"/>
        <v>#REF!</v>
      </c>
      <c r="H105" s="10" t="e">
        <f t="shared" si="59"/>
        <v>#REF!</v>
      </c>
      <c r="I105" s="10" t="e">
        <f t="shared" si="59"/>
        <v>#REF!</v>
      </c>
      <c r="J105" s="10" t="e">
        <f t="shared" si="59"/>
        <v>#REF!</v>
      </c>
      <c r="K105" s="10" t="e">
        <f t="shared" si="59"/>
        <v>#REF!</v>
      </c>
      <c r="L105" s="10" t="e">
        <f t="shared" si="59"/>
        <v>#REF!</v>
      </c>
      <c r="M105" s="10" t="e">
        <f t="shared" si="59"/>
        <v>#REF!</v>
      </c>
      <c r="N105" s="10" t="e">
        <f t="shared" si="58"/>
        <v>#REF!</v>
      </c>
      <c r="O105" s="10" t="e">
        <f t="shared" si="58"/>
        <v>#REF!</v>
      </c>
      <c r="P105" s="10" t="e">
        <f t="shared" si="58"/>
        <v>#REF!</v>
      </c>
      <c r="Q105" s="10" t="e">
        <f t="shared" si="58"/>
        <v>#REF!</v>
      </c>
    </row>
    <row r="106" spans="1:17" s="2" customFormat="1" outlineLevel="1" x14ac:dyDescent="0.25">
      <c r="B106" s="18" t="s">
        <v>310</v>
      </c>
      <c r="C106" s="85" t="s">
        <v>326</v>
      </c>
      <c r="D106" s="96">
        <v>75</v>
      </c>
      <c r="E106" s="161"/>
      <c r="F106" s="10" t="e">
        <f t="shared" ref="F106:M106" si="60">+IF(F$186-E$186&gt;0,ROUNDUP((F$186-E$186),0)*$D106*(1+F$9),0)</f>
        <v>#REF!</v>
      </c>
      <c r="G106" s="10" t="e">
        <f t="shared" si="60"/>
        <v>#REF!</v>
      </c>
      <c r="H106" s="10" t="e">
        <f t="shared" si="60"/>
        <v>#REF!</v>
      </c>
      <c r="I106" s="10" t="e">
        <f t="shared" si="60"/>
        <v>#REF!</v>
      </c>
      <c r="J106" s="10" t="e">
        <f t="shared" si="60"/>
        <v>#REF!</v>
      </c>
      <c r="K106" s="10" t="e">
        <f t="shared" si="60"/>
        <v>#REF!</v>
      </c>
      <c r="L106" s="10" t="e">
        <f t="shared" si="60"/>
        <v>#REF!</v>
      </c>
      <c r="M106" s="10" t="e">
        <f t="shared" si="60"/>
        <v>#REF!</v>
      </c>
      <c r="N106" s="10" t="e">
        <f t="shared" si="58"/>
        <v>#REF!</v>
      </c>
      <c r="O106" s="10" t="e">
        <f t="shared" si="58"/>
        <v>#REF!</v>
      </c>
      <c r="P106" s="10" t="e">
        <f t="shared" si="58"/>
        <v>#REF!</v>
      </c>
      <c r="Q106" s="10" t="e">
        <f t="shared" si="58"/>
        <v>#REF!</v>
      </c>
    </row>
    <row r="107" spans="1:17" s="2" customFormat="1" outlineLevel="1" x14ac:dyDescent="0.25">
      <c r="B107" s="18" t="s">
        <v>101</v>
      </c>
      <c r="C107" s="85" t="s">
        <v>103</v>
      </c>
      <c r="D107" s="96">
        <v>250</v>
      </c>
      <c r="E107" s="161"/>
      <c r="F107" s="11" t="e">
        <f t="shared" ref="F107:K107" si="61">+IF(F$197-E$197&gt;0,ROUNDUP((F$197-E$197),0)*$D107*(1+F$9),0)</f>
        <v>#REF!</v>
      </c>
      <c r="G107" s="11" t="e">
        <f t="shared" si="61"/>
        <v>#REF!</v>
      </c>
      <c r="H107" s="11" t="e">
        <f t="shared" si="61"/>
        <v>#REF!</v>
      </c>
      <c r="I107" s="11" t="e">
        <f t="shared" si="61"/>
        <v>#REF!</v>
      </c>
      <c r="J107" s="11" t="e">
        <f t="shared" si="61"/>
        <v>#REF!</v>
      </c>
      <c r="K107" s="11" t="e">
        <f t="shared" si="61"/>
        <v>#REF!</v>
      </c>
      <c r="L107" s="11" t="e">
        <f t="shared" ref="L107:Q107" si="62">+IF(L$197-K$197&gt;0,ROUNDUP((L$197-K$197),0)*$D107*(1+L$9),0)+(I107*(1+L$9))</f>
        <v>#REF!</v>
      </c>
      <c r="M107" s="11" t="e">
        <f t="shared" si="62"/>
        <v>#REF!</v>
      </c>
      <c r="N107" s="11" t="e">
        <f t="shared" si="62"/>
        <v>#REF!</v>
      </c>
      <c r="O107" s="11" t="e">
        <f t="shared" si="62"/>
        <v>#REF!</v>
      </c>
      <c r="P107" s="11" t="e">
        <f t="shared" si="62"/>
        <v>#REF!</v>
      </c>
      <c r="Q107" s="11" t="e">
        <f t="shared" si="62"/>
        <v>#REF!</v>
      </c>
    </row>
    <row r="108" spans="1:17" s="2" customFormat="1" x14ac:dyDescent="0.25">
      <c r="A108" s="2">
        <v>370</v>
      </c>
      <c r="B108" s="18" t="s">
        <v>42</v>
      </c>
      <c r="C108" s="162"/>
      <c r="D108" s="162"/>
      <c r="F108" s="10" t="e">
        <f>SUM(F91:F107)</f>
        <v>#REF!</v>
      </c>
      <c r="G108" s="10" t="e">
        <f t="shared" ref="G108:Q108" si="63">SUM(G91:G107)</f>
        <v>#REF!</v>
      </c>
      <c r="H108" s="10" t="e">
        <f t="shared" si="63"/>
        <v>#REF!</v>
      </c>
      <c r="I108" s="10" t="e">
        <f t="shared" si="63"/>
        <v>#REF!</v>
      </c>
      <c r="J108" s="10" t="e">
        <f t="shared" si="63"/>
        <v>#REF!</v>
      </c>
      <c r="K108" s="10" t="e">
        <f t="shared" si="63"/>
        <v>#REF!</v>
      </c>
      <c r="L108" s="10" t="e">
        <f t="shared" si="63"/>
        <v>#REF!</v>
      </c>
      <c r="M108" s="10" t="e">
        <f t="shared" si="63"/>
        <v>#REF!</v>
      </c>
      <c r="N108" s="10" t="e">
        <f t="shared" si="63"/>
        <v>#REF!</v>
      </c>
      <c r="O108" s="10" t="e">
        <f t="shared" si="63"/>
        <v>#REF!</v>
      </c>
      <c r="P108" s="10" t="e">
        <f t="shared" si="63"/>
        <v>#REF!</v>
      </c>
      <c r="Q108" s="10" t="e">
        <f t="shared" si="63"/>
        <v>#REF!</v>
      </c>
    </row>
    <row r="109" spans="1:17" s="113" customFormat="1" outlineLevel="1" x14ac:dyDescent="0.25">
      <c r="B109" s="165" t="s">
        <v>104</v>
      </c>
      <c r="C109" s="166" t="s">
        <v>291</v>
      </c>
      <c r="D109" s="167">
        <v>750</v>
      </c>
      <c r="F109" s="154">
        <f t="shared" ref="F109:K109" si="64">+IF(F$201-E$201&gt;0,ROUNDUP((F$201-E$201),0)*$D109*(1+F$9),0)</f>
        <v>0</v>
      </c>
      <c r="G109" s="154" t="e">
        <f t="shared" si="64"/>
        <v>#REF!</v>
      </c>
      <c r="H109" s="154" t="e">
        <f t="shared" si="64"/>
        <v>#REF!</v>
      </c>
      <c r="I109" s="154" t="e">
        <f t="shared" si="64"/>
        <v>#REF!</v>
      </c>
      <c r="J109" s="154" t="e">
        <f t="shared" si="64"/>
        <v>#REF!</v>
      </c>
      <c r="K109" s="154" t="e">
        <f t="shared" si="64"/>
        <v>#REF!</v>
      </c>
      <c r="L109" s="154" t="e">
        <f t="shared" ref="L109:Q109" si="65">+IF(L$201-K$201&gt;0,ROUNDUP((L$201-K$201),0)*$D109*(1+L$9),0)+(I109*(1+L$9))</f>
        <v>#REF!</v>
      </c>
      <c r="M109" s="154" t="e">
        <f t="shared" si="65"/>
        <v>#REF!</v>
      </c>
      <c r="N109" s="154" t="e">
        <f t="shared" si="65"/>
        <v>#REF!</v>
      </c>
      <c r="O109" s="154" t="e">
        <f t="shared" si="65"/>
        <v>#REF!</v>
      </c>
      <c r="P109" s="154" t="e">
        <f t="shared" si="65"/>
        <v>#REF!</v>
      </c>
      <c r="Q109" s="154" t="e">
        <f t="shared" si="65"/>
        <v>#REF!</v>
      </c>
    </row>
    <row r="110" spans="1:17" s="2" customFormat="1" outlineLevel="1" x14ac:dyDescent="0.25">
      <c r="B110" s="18" t="s">
        <v>105</v>
      </c>
      <c r="C110" s="162"/>
      <c r="D110" s="96">
        <v>100</v>
      </c>
      <c r="F110" s="32" t="e">
        <f t="shared" ref="F110:Q110" si="66">IF((F$186)&gt;0,($D110*(1+F9)),0)</f>
        <v>#REF!</v>
      </c>
      <c r="G110" s="32" t="e">
        <f t="shared" si="66"/>
        <v>#REF!</v>
      </c>
      <c r="H110" s="32" t="e">
        <f t="shared" si="66"/>
        <v>#REF!</v>
      </c>
      <c r="I110" s="32" t="e">
        <f t="shared" si="66"/>
        <v>#REF!</v>
      </c>
      <c r="J110" s="32" t="e">
        <f t="shared" si="66"/>
        <v>#REF!</v>
      </c>
      <c r="K110" s="32" t="e">
        <f t="shared" si="66"/>
        <v>#REF!</v>
      </c>
      <c r="L110" s="32" t="e">
        <f t="shared" si="66"/>
        <v>#REF!</v>
      </c>
      <c r="M110" s="32" t="e">
        <f t="shared" si="66"/>
        <v>#REF!</v>
      </c>
      <c r="N110" s="32" t="e">
        <f t="shared" si="66"/>
        <v>#REF!</v>
      </c>
      <c r="O110" s="32" t="e">
        <f t="shared" si="66"/>
        <v>#REF!</v>
      </c>
      <c r="P110" s="32" t="e">
        <f t="shared" si="66"/>
        <v>#REF!</v>
      </c>
      <c r="Q110" s="32" t="e">
        <f t="shared" si="66"/>
        <v>#REF!</v>
      </c>
    </row>
    <row r="111" spans="1:17" s="2" customFormat="1" x14ac:dyDescent="0.25">
      <c r="A111" s="2">
        <v>380</v>
      </c>
      <c r="B111" s="18" t="s">
        <v>73</v>
      </c>
      <c r="C111" s="162"/>
      <c r="D111" s="162"/>
      <c r="F111" s="10" t="e">
        <f t="shared" ref="F111:Q111" si="67">SUM(F109:F110)</f>
        <v>#REF!</v>
      </c>
      <c r="G111" s="10" t="e">
        <f t="shared" si="67"/>
        <v>#REF!</v>
      </c>
      <c r="H111" s="10" t="e">
        <f t="shared" si="67"/>
        <v>#REF!</v>
      </c>
      <c r="I111" s="10" t="e">
        <f t="shared" si="67"/>
        <v>#REF!</v>
      </c>
      <c r="J111" s="10" t="e">
        <f t="shared" si="67"/>
        <v>#REF!</v>
      </c>
      <c r="K111" s="10" t="e">
        <f t="shared" si="67"/>
        <v>#REF!</v>
      </c>
      <c r="L111" s="10" t="e">
        <f t="shared" si="67"/>
        <v>#REF!</v>
      </c>
      <c r="M111" s="10" t="e">
        <f t="shared" si="67"/>
        <v>#REF!</v>
      </c>
      <c r="N111" s="10" t="e">
        <f t="shared" si="67"/>
        <v>#REF!</v>
      </c>
      <c r="O111" s="10" t="e">
        <f t="shared" si="67"/>
        <v>#REF!</v>
      </c>
      <c r="P111" s="10" t="e">
        <f t="shared" si="67"/>
        <v>#REF!</v>
      </c>
      <c r="Q111" s="10" t="e">
        <f t="shared" si="67"/>
        <v>#REF!</v>
      </c>
    </row>
    <row r="112" spans="1:17" s="2" customFormat="1" outlineLevel="1" x14ac:dyDescent="0.25">
      <c r="B112" s="1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s="2" customFormat="1" outlineLevel="1" x14ac:dyDescent="0.25">
      <c r="B113" s="18" t="s">
        <v>107</v>
      </c>
      <c r="C113" s="2" t="s">
        <v>299</v>
      </c>
      <c r="D113" s="163">
        <f>1692/450</f>
        <v>3.76</v>
      </c>
      <c r="F113" s="107" t="e">
        <f t="shared" ref="F113:Q117" si="68">IF(F$186&gt;0,$D113*(1+F$9),0)*12*F$186</f>
        <v>#REF!</v>
      </c>
      <c r="G113" s="107" t="e">
        <f t="shared" si="68"/>
        <v>#REF!</v>
      </c>
      <c r="H113" s="107" t="e">
        <f t="shared" si="68"/>
        <v>#REF!</v>
      </c>
      <c r="I113" s="107" t="e">
        <f t="shared" si="68"/>
        <v>#REF!</v>
      </c>
      <c r="J113" s="107" t="e">
        <f t="shared" si="68"/>
        <v>#REF!</v>
      </c>
      <c r="K113" s="107" t="e">
        <f t="shared" si="68"/>
        <v>#REF!</v>
      </c>
      <c r="L113" s="107" t="e">
        <f t="shared" si="68"/>
        <v>#REF!</v>
      </c>
      <c r="M113" s="107" t="e">
        <f t="shared" si="68"/>
        <v>#REF!</v>
      </c>
      <c r="N113" s="107" t="e">
        <f t="shared" si="68"/>
        <v>#REF!</v>
      </c>
      <c r="O113" s="107" t="e">
        <f t="shared" si="68"/>
        <v>#REF!</v>
      </c>
      <c r="P113" s="107" t="e">
        <f t="shared" si="68"/>
        <v>#REF!</v>
      </c>
      <c r="Q113" s="107" t="e">
        <f t="shared" si="68"/>
        <v>#REF!</v>
      </c>
    </row>
    <row r="114" spans="1:17" s="2" customFormat="1" outlineLevel="1" x14ac:dyDescent="0.25">
      <c r="B114" s="18" t="s">
        <v>108</v>
      </c>
      <c r="C114" s="2" t="s">
        <v>299</v>
      </c>
      <c r="D114" s="163">
        <f>87/450</f>
        <v>0.19333333333333333</v>
      </c>
      <c r="F114" s="107" t="e">
        <f t="shared" si="68"/>
        <v>#REF!</v>
      </c>
      <c r="G114" s="107" t="e">
        <f t="shared" si="68"/>
        <v>#REF!</v>
      </c>
      <c r="H114" s="107" t="e">
        <f t="shared" si="68"/>
        <v>#REF!</v>
      </c>
      <c r="I114" s="107" t="e">
        <f t="shared" si="68"/>
        <v>#REF!</v>
      </c>
      <c r="J114" s="107" t="e">
        <f t="shared" si="68"/>
        <v>#REF!</v>
      </c>
      <c r="K114" s="107" t="e">
        <f t="shared" si="68"/>
        <v>#REF!</v>
      </c>
      <c r="L114" s="107" t="e">
        <f t="shared" si="68"/>
        <v>#REF!</v>
      </c>
      <c r="M114" s="107" t="e">
        <f t="shared" si="68"/>
        <v>#REF!</v>
      </c>
      <c r="N114" s="107" t="e">
        <f t="shared" si="68"/>
        <v>#REF!</v>
      </c>
      <c r="O114" s="107" t="e">
        <f t="shared" si="68"/>
        <v>#REF!</v>
      </c>
      <c r="P114" s="107" t="e">
        <f t="shared" si="68"/>
        <v>#REF!</v>
      </c>
      <c r="Q114" s="107" t="e">
        <f t="shared" si="68"/>
        <v>#REF!</v>
      </c>
    </row>
    <row r="115" spans="1:17" s="2" customFormat="1" outlineLevel="1" x14ac:dyDescent="0.25">
      <c r="B115" s="18" t="s">
        <v>109</v>
      </c>
      <c r="C115" s="2" t="s">
        <v>299</v>
      </c>
      <c r="D115" s="164">
        <f>2409/450</f>
        <v>5.3533333333333335</v>
      </c>
      <c r="F115" s="107" t="e">
        <f t="shared" si="68"/>
        <v>#REF!</v>
      </c>
      <c r="G115" s="107" t="e">
        <f t="shared" si="68"/>
        <v>#REF!</v>
      </c>
      <c r="H115" s="107" t="e">
        <f t="shared" si="68"/>
        <v>#REF!</v>
      </c>
      <c r="I115" s="107" t="e">
        <f t="shared" si="68"/>
        <v>#REF!</v>
      </c>
      <c r="J115" s="107" t="e">
        <f t="shared" si="68"/>
        <v>#REF!</v>
      </c>
      <c r="K115" s="107" t="e">
        <f t="shared" si="68"/>
        <v>#REF!</v>
      </c>
      <c r="L115" s="107" t="e">
        <f t="shared" si="68"/>
        <v>#REF!</v>
      </c>
      <c r="M115" s="107" t="e">
        <f t="shared" si="68"/>
        <v>#REF!</v>
      </c>
      <c r="N115" s="107" t="e">
        <f t="shared" si="68"/>
        <v>#REF!</v>
      </c>
      <c r="O115" s="107" t="e">
        <f t="shared" si="68"/>
        <v>#REF!</v>
      </c>
      <c r="P115" s="107" t="e">
        <f t="shared" si="68"/>
        <v>#REF!</v>
      </c>
      <c r="Q115" s="107" t="e">
        <f t="shared" si="68"/>
        <v>#REF!</v>
      </c>
    </row>
    <row r="116" spans="1:17" s="2" customFormat="1" outlineLevel="1" x14ac:dyDescent="0.25">
      <c r="B116" s="18" t="s">
        <v>185</v>
      </c>
      <c r="C116" s="2" t="s">
        <v>300</v>
      </c>
      <c r="D116" s="163">
        <f>518/450</f>
        <v>1.1511111111111112</v>
      </c>
      <c r="F116" s="107" t="e">
        <f t="shared" si="68"/>
        <v>#REF!</v>
      </c>
      <c r="G116" s="107" t="e">
        <f t="shared" si="68"/>
        <v>#REF!</v>
      </c>
      <c r="H116" s="107" t="e">
        <f t="shared" si="68"/>
        <v>#REF!</v>
      </c>
      <c r="I116" s="107" t="e">
        <f t="shared" si="68"/>
        <v>#REF!</v>
      </c>
      <c r="J116" s="107" t="e">
        <f t="shared" si="68"/>
        <v>#REF!</v>
      </c>
      <c r="K116" s="107" t="e">
        <f t="shared" si="68"/>
        <v>#REF!</v>
      </c>
      <c r="L116" s="107" t="e">
        <f t="shared" si="68"/>
        <v>#REF!</v>
      </c>
      <c r="M116" s="107" t="e">
        <f t="shared" si="68"/>
        <v>#REF!</v>
      </c>
      <c r="N116" s="107" t="e">
        <f t="shared" si="68"/>
        <v>#REF!</v>
      </c>
      <c r="O116" s="107" t="e">
        <f t="shared" si="68"/>
        <v>#REF!</v>
      </c>
      <c r="P116" s="107" t="e">
        <f t="shared" si="68"/>
        <v>#REF!</v>
      </c>
      <c r="Q116" s="107" t="e">
        <f t="shared" si="68"/>
        <v>#REF!</v>
      </c>
    </row>
    <row r="117" spans="1:17" s="2" customFormat="1" outlineLevel="1" x14ac:dyDescent="0.25">
      <c r="B117" s="18" t="s">
        <v>110</v>
      </c>
      <c r="C117" s="2" t="s">
        <v>299</v>
      </c>
      <c r="D117" s="163">
        <f>538/450</f>
        <v>1.1955555555555555</v>
      </c>
      <c r="F117" s="107" t="e">
        <f t="shared" si="68"/>
        <v>#REF!</v>
      </c>
      <c r="G117" s="107" t="e">
        <f t="shared" si="68"/>
        <v>#REF!</v>
      </c>
      <c r="H117" s="107" t="e">
        <f t="shared" si="68"/>
        <v>#REF!</v>
      </c>
      <c r="I117" s="107" t="e">
        <f t="shared" si="68"/>
        <v>#REF!</v>
      </c>
      <c r="J117" s="107" t="e">
        <f t="shared" si="68"/>
        <v>#REF!</v>
      </c>
      <c r="K117" s="107" t="e">
        <f t="shared" si="68"/>
        <v>#REF!</v>
      </c>
      <c r="L117" s="107" t="e">
        <f t="shared" si="68"/>
        <v>#REF!</v>
      </c>
      <c r="M117" s="107" t="e">
        <f t="shared" si="68"/>
        <v>#REF!</v>
      </c>
      <c r="N117" s="107" t="e">
        <f t="shared" si="68"/>
        <v>#REF!</v>
      </c>
      <c r="O117" s="107" t="e">
        <f t="shared" si="68"/>
        <v>#REF!</v>
      </c>
      <c r="P117" s="107" t="e">
        <f t="shared" si="68"/>
        <v>#REF!</v>
      </c>
      <c r="Q117" s="107" t="e">
        <f t="shared" si="68"/>
        <v>#REF!</v>
      </c>
    </row>
    <row r="118" spans="1:17" s="2" customFormat="1" outlineLevel="1" x14ac:dyDescent="0.25">
      <c r="B118" s="18" t="s">
        <v>187</v>
      </c>
      <c r="C118" s="2" t="s">
        <v>188</v>
      </c>
      <c r="D118" s="164">
        <v>105</v>
      </c>
      <c r="F118" s="107" t="e">
        <f t="shared" ref="F118:Q118" si="69">IF(F$186&gt;0,$D118*(1+F$9),0)*4</f>
        <v>#REF!</v>
      </c>
      <c r="G118" s="107" t="e">
        <f t="shared" si="69"/>
        <v>#REF!</v>
      </c>
      <c r="H118" s="107" t="e">
        <f t="shared" si="69"/>
        <v>#REF!</v>
      </c>
      <c r="I118" s="107" t="e">
        <f t="shared" si="69"/>
        <v>#REF!</v>
      </c>
      <c r="J118" s="107" t="e">
        <f t="shared" si="69"/>
        <v>#REF!</v>
      </c>
      <c r="K118" s="107" t="e">
        <f t="shared" si="69"/>
        <v>#REF!</v>
      </c>
      <c r="L118" s="107" t="e">
        <f t="shared" si="69"/>
        <v>#REF!</v>
      </c>
      <c r="M118" s="107" t="e">
        <f t="shared" si="69"/>
        <v>#REF!</v>
      </c>
      <c r="N118" s="107" t="e">
        <f t="shared" si="69"/>
        <v>#REF!</v>
      </c>
      <c r="O118" s="107" t="e">
        <f t="shared" si="69"/>
        <v>#REF!</v>
      </c>
      <c r="P118" s="107" t="e">
        <f t="shared" si="69"/>
        <v>#REF!</v>
      </c>
      <c r="Q118" s="107" t="e">
        <f t="shared" si="69"/>
        <v>#REF!</v>
      </c>
    </row>
    <row r="119" spans="1:17" s="2" customFormat="1" outlineLevel="1" x14ac:dyDescent="0.25">
      <c r="B119" s="18" t="s">
        <v>183</v>
      </c>
      <c r="C119" s="2" t="s">
        <v>299</v>
      </c>
      <c r="D119" s="163">
        <f>250/450</f>
        <v>0.55555555555555558</v>
      </c>
      <c r="F119" s="107" t="e">
        <f t="shared" ref="F119:Q121" si="70">IF(F$186&gt;0,$D119*(1+F$9),0)*12*F$186</f>
        <v>#REF!</v>
      </c>
      <c r="G119" s="107" t="e">
        <f t="shared" si="70"/>
        <v>#REF!</v>
      </c>
      <c r="H119" s="107" t="e">
        <f t="shared" si="70"/>
        <v>#REF!</v>
      </c>
      <c r="I119" s="107" t="e">
        <f t="shared" si="70"/>
        <v>#REF!</v>
      </c>
      <c r="J119" s="107" t="e">
        <f t="shared" si="70"/>
        <v>#REF!</v>
      </c>
      <c r="K119" s="107" t="e">
        <f t="shared" si="70"/>
        <v>#REF!</v>
      </c>
      <c r="L119" s="107" t="e">
        <f t="shared" si="70"/>
        <v>#REF!</v>
      </c>
      <c r="M119" s="107" t="e">
        <f t="shared" si="70"/>
        <v>#REF!</v>
      </c>
      <c r="N119" s="107" t="e">
        <f t="shared" si="70"/>
        <v>#REF!</v>
      </c>
      <c r="O119" s="107" t="e">
        <f t="shared" si="70"/>
        <v>#REF!</v>
      </c>
      <c r="P119" s="107" t="e">
        <f t="shared" si="70"/>
        <v>#REF!</v>
      </c>
      <c r="Q119" s="107" t="e">
        <f t="shared" si="70"/>
        <v>#REF!</v>
      </c>
    </row>
    <row r="120" spans="1:17" s="2" customFormat="1" outlineLevel="1" x14ac:dyDescent="0.25">
      <c r="B120" s="18" t="s">
        <v>111</v>
      </c>
      <c r="C120" s="2" t="s">
        <v>299</v>
      </c>
      <c r="D120" s="163">
        <f>120/450</f>
        <v>0.26666666666666666</v>
      </c>
      <c r="F120" s="107" t="e">
        <f t="shared" si="70"/>
        <v>#REF!</v>
      </c>
      <c r="G120" s="107" t="e">
        <f t="shared" si="70"/>
        <v>#REF!</v>
      </c>
      <c r="H120" s="107" t="e">
        <f t="shared" si="70"/>
        <v>#REF!</v>
      </c>
      <c r="I120" s="107" t="e">
        <f t="shared" si="70"/>
        <v>#REF!</v>
      </c>
      <c r="J120" s="107" t="e">
        <f t="shared" si="70"/>
        <v>#REF!</v>
      </c>
      <c r="K120" s="107" t="e">
        <f t="shared" si="70"/>
        <v>#REF!</v>
      </c>
      <c r="L120" s="107" t="e">
        <f t="shared" si="70"/>
        <v>#REF!</v>
      </c>
      <c r="M120" s="107" t="e">
        <f t="shared" si="70"/>
        <v>#REF!</v>
      </c>
      <c r="N120" s="107" t="e">
        <f t="shared" si="70"/>
        <v>#REF!</v>
      </c>
      <c r="O120" s="107" t="e">
        <f t="shared" si="70"/>
        <v>#REF!</v>
      </c>
      <c r="P120" s="107" t="e">
        <f t="shared" si="70"/>
        <v>#REF!</v>
      </c>
      <c r="Q120" s="107" t="e">
        <f t="shared" si="70"/>
        <v>#REF!</v>
      </c>
    </row>
    <row r="121" spans="1:17" s="2" customFormat="1" outlineLevel="1" x14ac:dyDescent="0.25">
      <c r="B121" s="18" t="s">
        <v>186</v>
      </c>
      <c r="C121" s="2" t="s">
        <v>299</v>
      </c>
      <c r="D121" s="163">
        <f>1320/450</f>
        <v>2.9333333333333331</v>
      </c>
      <c r="F121" s="32" t="e">
        <f t="shared" si="70"/>
        <v>#REF!</v>
      </c>
      <c r="G121" s="32" t="e">
        <f t="shared" si="70"/>
        <v>#REF!</v>
      </c>
      <c r="H121" s="32" t="e">
        <f t="shared" si="70"/>
        <v>#REF!</v>
      </c>
      <c r="I121" s="32" t="e">
        <f t="shared" si="70"/>
        <v>#REF!</v>
      </c>
      <c r="J121" s="32" t="e">
        <f t="shared" si="70"/>
        <v>#REF!</v>
      </c>
      <c r="K121" s="32" t="e">
        <f t="shared" si="70"/>
        <v>#REF!</v>
      </c>
      <c r="L121" s="32" t="e">
        <f t="shared" si="70"/>
        <v>#REF!</v>
      </c>
      <c r="M121" s="32" t="e">
        <f t="shared" si="70"/>
        <v>#REF!</v>
      </c>
      <c r="N121" s="32" t="e">
        <f t="shared" si="70"/>
        <v>#REF!</v>
      </c>
      <c r="O121" s="32" t="e">
        <f t="shared" si="70"/>
        <v>#REF!</v>
      </c>
      <c r="P121" s="32" t="e">
        <f t="shared" si="70"/>
        <v>#REF!</v>
      </c>
      <c r="Q121" s="32" t="e">
        <f t="shared" si="70"/>
        <v>#REF!</v>
      </c>
    </row>
    <row r="122" spans="1:17" x14ac:dyDescent="0.25">
      <c r="A122">
        <v>400</v>
      </c>
      <c r="B122" s="18" t="s">
        <v>74</v>
      </c>
      <c r="D122" s="83"/>
      <c r="E122"/>
      <c r="F122" s="48" t="e">
        <f t="shared" ref="F122:Q122" si="71">SUM(F113:F121)</f>
        <v>#REF!</v>
      </c>
      <c r="G122" s="48" t="e">
        <f t="shared" si="71"/>
        <v>#REF!</v>
      </c>
      <c r="H122" s="48" t="e">
        <f t="shared" si="71"/>
        <v>#REF!</v>
      </c>
      <c r="I122" s="48" t="e">
        <f t="shared" si="71"/>
        <v>#REF!</v>
      </c>
      <c r="J122" s="48" t="e">
        <f t="shared" si="71"/>
        <v>#REF!</v>
      </c>
      <c r="K122" s="48" t="e">
        <f t="shared" si="71"/>
        <v>#REF!</v>
      </c>
      <c r="L122" s="48" t="e">
        <f t="shared" si="71"/>
        <v>#REF!</v>
      </c>
      <c r="M122" s="48" t="e">
        <f t="shared" si="71"/>
        <v>#REF!</v>
      </c>
      <c r="N122" s="48" t="e">
        <f t="shared" si="71"/>
        <v>#REF!</v>
      </c>
      <c r="O122" s="48" t="e">
        <f t="shared" si="71"/>
        <v>#REF!</v>
      </c>
      <c r="P122" s="48" t="e">
        <f t="shared" si="71"/>
        <v>#REF!</v>
      </c>
      <c r="Q122" s="48" t="e">
        <f t="shared" si="71"/>
        <v>#REF!</v>
      </c>
    </row>
    <row r="123" spans="1:17" ht="30" x14ac:dyDescent="0.25">
      <c r="A123">
        <v>450</v>
      </c>
      <c r="B123" s="18" t="s">
        <v>75</v>
      </c>
      <c r="C123" s="148" t="s">
        <v>349</v>
      </c>
      <c r="D123" s="84">
        <v>900</v>
      </c>
      <c r="E123"/>
      <c r="F123" s="48" t="e">
        <f>$D123*F$186</f>
        <v>#REF!</v>
      </c>
      <c r="G123" s="48" t="e">
        <f>$D123*G$186</f>
        <v>#REF!</v>
      </c>
      <c r="H123" s="48" t="e">
        <f>$D123*H$186</f>
        <v>#REF!</v>
      </c>
      <c r="I123" s="48" t="e">
        <f>600*I$186*(1+I9)</f>
        <v>#REF!</v>
      </c>
      <c r="J123" s="48" t="e">
        <f>600*J$186*(1+J9)</f>
        <v>#REF!</v>
      </c>
      <c r="K123" s="48" t="e">
        <f>$D123*K$186*(1+K9)</f>
        <v>#REF!</v>
      </c>
      <c r="L123" s="48" t="e">
        <f t="shared" ref="L123:Q123" si="72">$D123*L$186*(1+L9)</f>
        <v>#REF!</v>
      </c>
      <c r="M123" s="48" t="e">
        <f t="shared" si="72"/>
        <v>#REF!</v>
      </c>
      <c r="N123" s="48" t="e">
        <f t="shared" si="72"/>
        <v>#REF!</v>
      </c>
      <c r="O123" s="48" t="e">
        <f t="shared" si="72"/>
        <v>#REF!</v>
      </c>
      <c r="P123" s="48" t="e">
        <f t="shared" si="72"/>
        <v>#REF!</v>
      </c>
      <c r="Q123" s="48" t="e">
        <f t="shared" si="72"/>
        <v>#REF!</v>
      </c>
    </row>
    <row r="124" spans="1:17" x14ac:dyDescent="0.25">
      <c r="A124">
        <v>480</v>
      </c>
      <c r="B124" s="18" t="s">
        <v>76</v>
      </c>
      <c r="C124" t="s">
        <v>112</v>
      </c>
      <c r="D124" s="84"/>
      <c r="E124"/>
      <c r="F124" s="59" t="e">
        <f t="shared" ref="F124:Q124" si="73">IF(F$186&gt;0,$D124*(1+F$9),0)*12</f>
        <v>#REF!</v>
      </c>
      <c r="G124" s="59" t="e">
        <f t="shared" si="73"/>
        <v>#REF!</v>
      </c>
      <c r="H124" s="59" t="e">
        <f t="shared" si="73"/>
        <v>#REF!</v>
      </c>
      <c r="I124" s="59" t="e">
        <f t="shared" si="73"/>
        <v>#REF!</v>
      </c>
      <c r="J124" s="59" t="e">
        <f t="shared" si="73"/>
        <v>#REF!</v>
      </c>
      <c r="K124" s="59" t="e">
        <f t="shared" si="73"/>
        <v>#REF!</v>
      </c>
      <c r="L124" s="59" t="e">
        <f t="shared" si="73"/>
        <v>#REF!</v>
      </c>
      <c r="M124" s="59" t="e">
        <f t="shared" si="73"/>
        <v>#REF!</v>
      </c>
      <c r="N124" s="59" t="e">
        <f t="shared" si="73"/>
        <v>#REF!</v>
      </c>
      <c r="O124" s="59" t="e">
        <f t="shared" si="73"/>
        <v>#REF!</v>
      </c>
      <c r="P124" s="59" t="e">
        <f t="shared" si="73"/>
        <v>#REF!</v>
      </c>
      <c r="Q124" s="59" t="e">
        <f t="shared" si="73"/>
        <v>#REF!</v>
      </c>
    </row>
    <row r="125" spans="1:17" outlineLevel="1" x14ac:dyDescent="0.25">
      <c r="A125"/>
      <c r="B125" s="18" t="s">
        <v>113</v>
      </c>
      <c r="C125" t="s">
        <v>278</v>
      </c>
      <c r="D125" s="85">
        <v>28000</v>
      </c>
      <c r="E125"/>
      <c r="F125" s="48" t="e">
        <f t="shared" ref="F125:Q125" si="74">$D125/46*(1+F$10)*10*F$189</f>
        <v>#REF!</v>
      </c>
      <c r="G125" s="48" t="e">
        <f t="shared" si="74"/>
        <v>#REF!</v>
      </c>
      <c r="H125" s="48" t="e">
        <f t="shared" si="74"/>
        <v>#REF!</v>
      </c>
      <c r="I125" s="48" t="e">
        <f t="shared" si="74"/>
        <v>#REF!</v>
      </c>
      <c r="J125" s="48" t="e">
        <f t="shared" si="74"/>
        <v>#REF!</v>
      </c>
      <c r="K125" s="48" t="e">
        <f t="shared" si="74"/>
        <v>#REF!</v>
      </c>
      <c r="L125" s="48" t="e">
        <f t="shared" si="74"/>
        <v>#REF!</v>
      </c>
      <c r="M125" s="48" t="e">
        <f t="shared" si="74"/>
        <v>#REF!</v>
      </c>
      <c r="N125" s="48" t="e">
        <f t="shared" si="74"/>
        <v>#REF!</v>
      </c>
      <c r="O125" s="48" t="e">
        <f t="shared" si="74"/>
        <v>#REF!</v>
      </c>
      <c r="P125" s="48" t="e">
        <f t="shared" si="74"/>
        <v>#REF!</v>
      </c>
      <c r="Q125" s="48" t="e">
        <f t="shared" si="74"/>
        <v>#REF!</v>
      </c>
    </row>
    <row r="126" spans="1:17" outlineLevel="1" x14ac:dyDescent="0.25">
      <c r="A126"/>
      <c r="B126" s="18" t="s">
        <v>113</v>
      </c>
      <c r="C126" t="s">
        <v>114</v>
      </c>
      <c r="D126" s="84">
        <v>0</v>
      </c>
      <c r="E126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1:17" outlineLevel="1" x14ac:dyDescent="0.25">
      <c r="A127"/>
      <c r="B127" s="18" t="s">
        <v>133</v>
      </c>
      <c r="C127" t="s">
        <v>264</v>
      </c>
      <c r="E127"/>
      <c r="F127" s="59" t="e">
        <f>(F27+F35)*(1+F$9)</f>
        <v>#REF!</v>
      </c>
      <c r="G127" s="59" t="e">
        <f>G$186*Revenue!#REF!</f>
        <v>#REF!</v>
      </c>
      <c r="H127" s="59" t="e">
        <f>H$186*Revenue!#REF!</f>
        <v>#REF!</v>
      </c>
      <c r="I127" s="59" t="e">
        <f>I$186*Revenue!#REF!</f>
        <v>#REF!</v>
      </c>
      <c r="J127" s="59" t="e">
        <f>J$186*Revenue!#REF!</f>
        <v>#REF!</v>
      </c>
      <c r="K127" s="59" t="e">
        <f>K$186*Revenue!#REF!</f>
        <v>#REF!</v>
      </c>
      <c r="L127" s="59" t="e">
        <f>L$186*Revenue!#REF!</f>
        <v>#REF!</v>
      </c>
      <c r="M127" s="59" t="e">
        <f>M$186*Revenue!#REF!</f>
        <v>#REF!</v>
      </c>
      <c r="N127" s="59" t="e">
        <f>N$186*Revenue!#REF!</f>
        <v>#REF!</v>
      </c>
      <c r="O127" s="59" t="e">
        <f>O$186*Revenue!#REF!</f>
        <v>#REF!</v>
      </c>
      <c r="P127" s="59" t="e">
        <f>P$186*Revenue!#REF!</f>
        <v>#REF!</v>
      </c>
      <c r="Q127" s="59" t="e">
        <f>Q$186*Revenue!#REF!</f>
        <v>#REF!</v>
      </c>
    </row>
    <row r="128" spans="1:17" outlineLevel="1" x14ac:dyDescent="0.25">
      <c r="A128"/>
      <c r="B128" s="18" t="s">
        <v>115</v>
      </c>
      <c r="C128" t="s">
        <v>116</v>
      </c>
      <c r="D128" s="84">
        <v>160</v>
      </c>
      <c r="E128"/>
      <c r="F128" s="52" t="e">
        <f t="shared" ref="F128:Q128" si="75">$D128*F$197*(1+F$9)*10</f>
        <v>#REF!</v>
      </c>
      <c r="G128" s="52" t="e">
        <f t="shared" si="75"/>
        <v>#REF!</v>
      </c>
      <c r="H128" s="52" t="e">
        <f t="shared" si="75"/>
        <v>#REF!</v>
      </c>
      <c r="I128" s="52" t="e">
        <f t="shared" si="75"/>
        <v>#REF!</v>
      </c>
      <c r="J128" s="52" t="e">
        <f t="shared" si="75"/>
        <v>#REF!</v>
      </c>
      <c r="K128" s="52" t="e">
        <f t="shared" si="75"/>
        <v>#REF!</v>
      </c>
      <c r="L128" s="52" t="e">
        <f t="shared" si="75"/>
        <v>#REF!</v>
      </c>
      <c r="M128" s="52" t="e">
        <f t="shared" si="75"/>
        <v>#REF!</v>
      </c>
      <c r="N128" s="52" t="e">
        <f t="shared" si="75"/>
        <v>#REF!</v>
      </c>
      <c r="O128" s="52" t="e">
        <f t="shared" si="75"/>
        <v>#REF!</v>
      </c>
      <c r="P128" s="52" t="e">
        <f t="shared" si="75"/>
        <v>#REF!</v>
      </c>
      <c r="Q128" s="52" t="e">
        <f t="shared" si="75"/>
        <v>#REF!</v>
      </c>
    </row>
    <row r="129" spans="1:17" x14ac:dyDescent="0.25">
      <c r="A129">
        <v>500</v>
      </c>
      <c r="B129" s="18" t="s">
        <v>77</v>
      </c>
      <c r="D129" s="83"/>
      <c r="E129"/>
      <c r="F129" s="48" t="e">
        <f t="shared" ref="F129:Q129" si="76">SUM(F125:F128)</f>
        <v>#REF!</v>
      </c>
      <c r="G129" s="48" t="e">
        <f t="shared" si="76"/>
        <v>#REF!</v>
      </c>
      <c r="H129" s="48" t="e">
        <f t="shared" si="76"/>
        <v>#REF!</v>
      </c>
      <c r="I129" s="48" t="e">
        <f t="shared" si="76"/>
        <v>#REF!</v>
      </c>
      <c r="J129" s="48" t="e">
        <f t="shared" si="76"/>
        <v>#REF!</v>
      </c>
      <c r="K129" s="48" t="e">
        <f t="shared" si="76"/>
        <v>#REF!</v>
      </c>
      <c r="L129" s="48" t="e">
        <f t="shared" si="76"/>
        <v>#REF!</v>
      </c>
      <c r="M129" s="48" t="e">
        <f t="shared" si="76"/>
        <v>#REF!</v>
      </c>
      <c r="N129" s="48" t="e">
        <f t="shared" si="76"/>
        <v>#REF!</v>
      </c>
      <c r="O129" s="48" t="e">
        <f t="shared" si="76"/>
        <v>#REF!</v>
      </c>
      <c r="P129" s="48" t="e">
        <f t="shared" si="76"/>
        <v>#REF!</v>
      </c>
      <c r="Q129" s="48" t="e">
        <f t="shared" si="76"/>
        <v>#REF!</v>
      </c>
    </row>
    <row r="130" spans="1:17" outlineLevel="1" x14ac:dyDescent="0.25">
      <c r="A130"/>
      <c r="B130" s="18" t="s">
        <v>118</v>
      </c>
      <c r="C130" t="s">
        <v>45</v>
      </c>
      <c r="D130" s="84">
        <v>2500</v>
      </c>
      <c r="E130"/>
      <c r="F130" s="59" t="e">
        <f t="shared" ref="F130:Q131" si="77">IF(F$186&gt;0,$D130*(1+F$9),0)</f>
        <v>#REF!</v>
      </c>
      <c r="G130" s="59" t="e">
        <f t="shared" si="77"/>
        <v>#REF!</v>
      </c>
      <c r="H130" s="59" t="e">
        <f t="shared" si="77"/>
        <v>#REF!</v>
      </c>
      <c r="I130" s="59" t="e">
        <f t="shared" si="77"/>
        <v>#REF!</v>
      </c>
      <c r="J130" s="59" t="e">
        <f t="shared" si="77"/>
        <v>#REF!</v>
      </c>
      <c r="K130" s="59" t="e">
        <f t="shared" si="77"/>
        <v>#REF!</v>
      </c>
      <c r="L130" s="59" t="e">
        <f t="shared" si="77"/>
        <v>#REF!</v>
      </c>
      <c r="M130" s="59" t="e">
        <f t="shared" si="77"/>
        <v>#REF!</v>
      </c>
      <c r="N130" s="59" t="e">
        <f t="shared" si="77"/>
        <v>#REF!</v>
      </c>
      <c r="O130" s="59" t="e">
        <f t="shared" si="77"/>
        <v>#REF!</v>
      </c>
      <c r="P130" s="59" t="e">
        <f t="shared" si="77"/>
        <v>#REF!</v>
      </c>
      <c r="Q130" s="59" t="e">
        <f t="shared" si="77"/>
        <v>#REF!</v>
      </c>
    </row>
    <row r="131" spans="1:17" outlineLevel="1" x14ac:dyDescent="0.25">
      <c r="A131"/>
      <c r="B131" s="18" t="s">
        <v>119</v>
      </c>
      <c r="C131" t="s">
        <v>45</v>
      </c>
      <c r="D131" s="84">
        <v>3500</v>
      </c>
      <c r="E131"/>
      <c r="F131" s="59" t="e">
        <f t="shared" si="77"/>
        <v>#REF!</v>
      </c>
      <c r="G131" s="59" t="e">
        <f t="shared" si="77"/>
        <v>#REF!</v>
      </c>
      <c r="H131" s="59" t="e">
        <f t="shared" si="77"/>
        <v>#REF!</v>
      </c>
      <c r="I131" s="59" t="e">
        <f t="shared" si="77"/>
        <v>#REF!</v>
      </c>
      <c r="J131" s="59" t="e">
        <f t="shared" si="77"/>
        <v>#REF!</v>
      </c>
      <c r="K131" s="59" t="e">
        <f t="shared" si="77"/>
        <v>#REF!</v>
      </c>
      <c r="L131" s="59" t="e">
        <f t="shared" si="77"/>
        <v>#REF!</v>
      </c>
      <c r="M131" s="59" t="e">
        <f t="shared" si="77"/>
        <v>#REF!</v>
      </c>
      <c r="N131" s="59" t="e">
        <f t="shared" si="77"/>
        <v>#REF!</v>
      </c>
      <c r="O131" s="59" t="e">
        <f t="shared" si="77"/>
        <v>#REF!</v>
      </c>
      <c r="P131" s="59" t="e">
        <f t="shared" si="77"/>
        <v>#REF!</v>
      </c>
      <c r="Q131" s="59" t="e">
        <f t="shared" si="77"/>
        <v>#REF!</v>
      </c>
    </row>
    <row r="132" spans="1:17" outlineLevel="1" x14ac:dyDescent="0.25">
      <c r="A132"/>
      <c r="B132" s="18" t="s">
        <v>121</v>
      </c>
      <c r="C132" t="s">
        <v>305</v>
      </c>
      <c r="D132" s="84">
        <v>0</v>
      </c>
      <c r="E132"/>
      <c r="F132" s="59" t="e">
        <f t="shared" ref="F132:Q132" si="78">IF(F$186&gt;0,$D132*(1+F$9),0)*12</f>
        <v>#REF!</v>
      </c>
      <c r="G132" s="59" t="e">
        <f t="shared" si="78"/>
        <v>#REF!</v>
      </c>
      <c r="H132" s="59" t="e">
        <f t="shared" si="78"/>
        <v>#REF!</v>
      </c>
      <c r="I132" s="59" t="e">
        <f t="shared" si="78"/>
        <v>#REF!</v>
      </c>
      <c r="J132" s="59" t="e">
        <f t="shared" si="78"/>
        <v>#REF!</v>
      </c>
      <c r="K132" s="59" t="e">
        <f t="shared" si="78"/>
        <v>#REF!</v>
      </c>
      <c r="L132" s="59" t="e">
        <f t="shared" si="78"/>
        <v>#REF!</v>
      </c>
      <c r="M132" s="59" t="e">
        <f t="shared" si="78"/>
        <v>#REF!</v>
      </c>
      <c r="N132" s="59" t="e">
        <f t="shared" si="78"/>
        <v>#REF!</v>
      </c>
      <c r="O132" s="59" t="e">
        <f t="shared" si="78"/>
        <v>#REF!</v>
      </c>
      <c r="P132" s="59" t="e">
        <f t="shared" si="78"/>
        <v>#REF!</v>
      </c>
      <c r="Q132" s="59" t="e">
        <f t="shared" si="78"/>
        <v>#REF!</v>
      </c>
    </row>
    <row r="133" spans="1:17" outlineLevel="1" x14ac:dyDescent="0.25">
      <c r="A133"/>
      <c r="B133" s="18" t="s">
        <v>176</v>
      </c>
      <c r="C133" t="s">
        <v>302</v>
      </c>
      <c r="D133" s="84">
        <v>0</v>
      </c>
      <c r="E133"/>
      <c r="F133" s="59" t="e">
        <f t="shared" ref="F133:Q133" si="79">IF(F$186&gt;0,$D133*(1+F$9),0)</f>
        <v>#REF!</v>
      </c>
      <c r="G133" s="59" t="e">
        <f t="shared" si="79"/>
        <v>#REF!</v>
      </c>
      <c r="H133" s="59" t="e">
        <f t="shared" si="79"/>
        <v>#REF!</v>
      </c>
      <c r="I133" s="59" t="e">
        <f t="shared" si="79"/>
        <v>#REF!</v>
      </c>
      <c r="J133" s="59" t="e">
        <f t="shared" si="79"/>
        <v>#REF!</v>
      </c>
      <c r="K133" s="59" t="e">
        <f t="shared" si="79"/>
        <v>#REF!</v>
      </c>
      <c r="L133" s="59" t="e">
        <f t="shared" si="79"/>
        <v>#REF!</v>
      </c>
      <c r="M133" s="59" t="e">
        <f t="shared" si="79"/>
        <v>#REF!</v>
      </c>
      <c r="N133" s="59" t="e">
        <f t="shared" si="79"/>
        <v>#REF!</v>
      </c>
      <c r="O133" s="59" t="e">
        <f t="shared" si="79"/>
        <v>#REF!</v>
      </c>
      <c r="P133" s="59" t="e">
        <f t="shared" si="79"/>
        <v>#REF!</v>
      </c>
      <c r="Q133" s="59" t="e">
        <f t="shared" si="79"/>
        <v>#REF!</v>
      </c>
    </row>
    <row r="134" spans="1:17" outlineLevel="1" x14ac:dyDescent="0.25">
      <c r="A134"/>
      <c r="B134" s="18" t="s">
        <v>175</v>
      </c>
      <c r="C134" t="s">
        <v>307</v>
      </c>
      <c r="D134" s="84">
        <v>400</v>
      </c>
      <c r="E134"/>
      <c r="F134" s="59" t="e">
        <f>$D134*F$186*(1+F$9)</f>
        <v>#REF!</v>
      </c>
      <c r="G134" s="59" t="e">
        <f>$D134*G$186*(1+G$9)</f>
        <v>#REF!</v>
      </c>
      <c r="H134" s="59" t="e">
        <f>$D134*H$186*(1+H$9)</f>
        <v>#REF!</v>
      </c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1:17" outlineLevel="1" x14ac:dyDescent="0.25">
      <c r="A135"/>
      <c r="B135" s="18" t="s">
        <v>199</v>
      </c>
      <c r="C135" t="s">
        <v>297</v>
      </c>
      <c r="D135" s="84">
        <f>50319/450</f>
        <v>111.82</v>
      </c>
      <c r="E135"/>
      <c r="F135" s="59" t="e">
        <f>IF(F$186&gt;0,($D135*F186)*(1+F$9),0)</f>
        <v>#REF!</v>
      </c>
      <c r="G135" s="59" t="e">
        <f>IF(G$186&gt;0,($D135*G186)*(1+G$9),0)</f>
        <v>#REF!</v>
      </c>
      <c r="H135" s="59" t="e">
        <f t="shared" ref="H135:Q135" si="80">IF(H$186&gt;0,($D135*H186)*(1+H$9),0)*0.9</f>
        <v>#REF!</v>
      </c>
      <c r="I135" s="59" t="e">
        <f t="shared" si="80"/>
        <v>#REF!</v>
      </c>
      <c r="J135" s="59" t="e">
        <f t="shared" si="80"/>
        <v>#REF!</v>
      </c>
      <c r="K135" s="59" t="e">
        <f t="shared" si="80"/>
        <v>#REF!</v>
      </c>
      <c r="L135" s="59" t="e">
        <f t="shared" si="80"/>
        <v>#REF!</v>
      </c>
      <c r="M135" s="59" t="e">
        <f t="shared" si="80"/>
        <v>#REF!</v>
      </c>
      <c r="N135" s="59" t="e">
        <f t="shared" si="80"/>
        <v>#REF!</v>
      </c>
      <c r="O135" s="59" t="e">
        <f t="shared" si="80"/>
        <v>#REF!</v>
      </c>
      <c r="P135" s="59" t="e">
        <f t="shared" si="80"/>
        <v>#REF!</v>
      </c>
      <c r="Q135" s="59" t="e">
        <f t="shared" si="80"/>
        <v>#REF!</v>
      </c>
    </row>
    <row r="136" spans="1:17" outlineLevel="1" x14ac:dyDescent="0.25">
      <c r="A136"/>
      <c r="B136" s="18" t="s">
        <v>201</v>
      </c>
      <c r="C136" t="s">
        <v>94</v>
      </c>
      <c r="D136" s="86">
        <f>787.5/450</f>
        <v>1.75</v>
      </c>
      <c r="E136"/>
      <c r="F136" s="59" t="e">
        <f t="shared" ref="F136:Q136" si="81">$D136*F$186*(1+F$9)</f>
        <v>#REF!</v>
      </c>
      <c r="G136" s="59" t="e">
        <f t="shared" si="81"/>
        <v>#REF!</v>
      </c>
      <c r="H136" s="59" t="e">
        <f t="shared" si="81"/>
        <v>#REF!</v>
      </c>
      <c r="I136" s="59" t="e">
        <f t="shared" si="81"/>
        <v>#REF!</v>
      </c>
      <c r="J136" s="59" t="e">
        <f t="shared" si="81"/>
        <v>#REF!</v>
      </c>
      <c r="K136" s="59" t="e">
        <f t="shared" si="81"/>
        <v>#REF!</v>
      </c>
      <c r="L136" s="59" t="e">
        <f t="shared" si="81"/>
        <v>#REF!</v>
      </c>
      <c r="M136" s="59" t="e">
        <f t="shared" si="81"/>
        <v>#REF!</v>
      </c>
      <c r="N136" s="59" t="e">
        <f t="shared" si="81"/>
        <v>#REF!</v>
      </c>
      <c r="O136" s="59" t="e">
        <f t="shared" si="81"/>
        <v>#REF!</v>
      </c>
      <c r="P136" s="59" t="e">
        <f t="shared" si="81"/>
        <v>#REF!</v>
      </c>
      <c r="Q136" s="59" t="e">
        <f t="shared" si="81"/>
        <v>#REF!</v>
      </c>
    </row>
    <row r="137" spans="1:17" outlineLevel="1" x14ac:dyDescent="0.25">
      <c r="A137"/>
      <c r="B137" s="18" t="s">
        <v>202</v>
      </c>
      <c r="C137" t="s">
        <v>45</v>
      </c>
      <c r="D137" s="84">
        <v>3607</v>
      </c>
      <c r="E137"/>
      <c r="F137" s="59" t="e">
        <f t="shared" ref="F137:Q137" si="82">IF(F$186&gt;0,$D137*(1+F$9),0)</f>
        <v>#REF!</v>
      </c>
      <c r="G137" s="59" t="e">
        <f t="shared" si="82"/>
        <v>#REF!</v>
      </c>
      <c r="H137" s="59" t="e">
        <f t="shared" si="82"/>
        <v>#REF!</v>
      </c>
      <c r="I137" s="59" t="e">
        <f t="shared" si="82"/>
        <v>#REF!</v>
      </c>
      <c r="J137" s="59" t="e">
        <f t="shared" si="82"/>
        <v>#REF!</v>
      </c>
      <c r="K137" s="59" t="e">
        <f t="shared" si="82"/>
        <v>#REF!</v>
      </c>
      <c r="L137" s="59" t="e">
        <f t="shared" si="82"/>
        <v>#REF!</v>
      </c>
      <c r="M137" s="59" t="e">
        <f t="shared" si="82"/>
        <v>#REF!</v>
      </c>
      <c r="N137" s="59" t="e">
        <f t="shared" si="82"/>
        <v>#REF!</v>
      </c>
      <c r="O137" s="59" t="e">
        <f t="shared" si="82"/>
        <v>#REF!</v>
      </c>
      <c r="P137" s="59" t="e">
        <f t="shared" si="82"/>
        <v>#REF!</v>
      </c>
      <c r="Q137" s="59" t="e">
        <f t="shared" si="82"/>
        <v>#REF!</v>
      </c>
    </row>
    <row r="138" spans="1:17" outlineLevel="1" x14ac:dyDescent="0.25">
      <c r="A138"/>
      <c r="B138" s="18" t="s">
        <v>200</v>
      </c>
      <c r="C138" t="s">
        <v>297</v>
      </c>
      <c r="D138" s="84">
        <f>4580/450</f>
        <v>10.177777777777777</v>
      </c>
      <c r="E138"/>
      <c r="F138" s="59" t="e">
        <f>IF(F$186&gt;0,($D138*F189)*(1+F$9),0)*0.9</f>
        <v>#REF!</v>
      </c>
      <c r="G138" s="59" t="e">
        <f>IF(G$186&gt;0,($D138*G189)*(1+G$9),0)*0.9</f>
        <v>#REF!</v>
      </c>
      <c r="H138" s="59" t="e">
        <f t="shared" ref="H138:Q138" si="83">IF(H$186&gt;0,($D138*H$186)*(1+H$9),0)*0.9</f>
        <v>#REF!</v>
      </c>
      <c r="I138" s="59" t="e">
        <f t="shared" si="83"/>
        <v>#REF!</v>
      </c>
      <c r="J138" s="59" t="e">
        <f t="shared" si="83"/>
        <v>#REF!</v>
      </c>
      <c r="K138" s="59" t="e">
        <f t="shared" si="83"/>
        <v>#REF!</v>
      </c>
      <c r="L138" s="59" t="e">
        <f t="shared" si="83"/>
        <v>#REF!</v>
      </c>
      <c r="M138" s="59" t="e">
        <f t="shared" si="83"/>
        <v>#REF!</v>
      </c>
      <c r="N138" s="59" t="e">
        <f t="shared" si="83"/>
        <v>#REF!</v>
      </c>
      <c r="O138" s="59" t="e">
        <f t="shared" si="83"/>
        <v>#REF!</v>
      </c>
      <c r="P138" s="59" t="e">
        <f t="shared" si="83"/>
        <v>#REF!</v>
      </c>
      <c r="Q138" s="59" t="e">
        <f t="shared" si="83"/>
        <v>#REF!</v>
      </c>
    </row>
    <row r="139" spans="1:17" outlineLevel="1" x14ac:dyDescent="0.25">
      <c r="A139"/>
      <c r="B139" s="18" t="s">
        <v>120</v>
      </c>
      <c r="C139" t="s">
        <v>45</v>
      </c>
      <c r="D139" s="84">
        <v>5000</v>
      </c>
      <c r="E139"/>
      <c r="F139" s="52" t="e">
        <f t="shared" ref="F139:Q139" si="84">IF(F$186&gt;0,$D139*(1+F$9),0)</f>
        <v>#REF!</v>
      </c>
      <c r="G139" s="52" t="e">
        <f t="shared" si="84"/>
        <v>#REF!</v>
      </c>
      <c r="H139" s="52" t="e">
        <f t="shared" si="84"/>
        <v>#REF!</v>
      </c>
      <c r="I139" s="52" t="e">
        <f t="shared" si="84"/>
        <v>#REF!</v>
      </c>
      <c r="J139" s="52" t="e">
        <f t="shared" si="84"/>
        <v>#REF!</v>
      </c>
      <c r="K139" s="52" t="e">
        <f t="shared" si="84"/>
        <v>#REF!</v>
      </c>
      <c r="L139" s="52" t="e">
        <f t="shared" si="84"/>
        <v>#REF!</v>
      </c>
      <c r="M139" s="52" t="e">
        <f t="shared" si="84"/>
        <v>#REF!</v>
      </c>
      <c r="N139" s="52" t="e">
        <f t="shared" si="84"/>
        <v>#REF!</v>
      </c>
      <c r="O139" s="52" t="e">
        <f t="shared" si="84"/>
        <v>#REF!</v>
      </c>
      <c r="P139" s="52" t="e">
        <f t="shared" si="84"/>
        <v>#REF!</v>
      </c>
      <c r="Q139" s="52" t="e">
        <f t="shared" si="84"/>
        <v>#REF!</v>
      </c>
    </row>
    <row r="140" spans="1:17" x14ac:dyDescent="0.25">
      <c r="A140">
        <v>550</v>
      </c>
      <c r="B140" s="18" t="s">
        <v>78</v>
      </c>
      <c r="D140" s="83"/>
      <c r="E140"/>
      <c r="F140" s="48" t="e">
        <f>SUM(F130:F139)</f>
        <v>#REF!</v>
      </c>
      <c r="G140" s="48" t="e">
        <f t="shared" ref="G140:Q140" si="85">SUM(G130:G139)</f>
        <v>#REF!</v>
      </c>
      <c r="H140" s="48" t="e">
        <f t="shared" si="85"/>
        <v>#REF!</v>
      </c>
      <c r="I140" s="48" t="e">
        <f t="shared" si="85"/>
        <v>#REF!</v>
      </c>
      <c r="J140" s="48" t="e">
        <f t="shared" si="85"/>
        <v>#REF!</v>
      </c>
      <c r="K140" s="48" t="e">
        <f t="shared" si="85"/>
        <v>#REF!</v>
      </c>
      <c r="L140" s="48" t="e">
        <f t="shared" si="85"/>
        <v>#REF!</v>
      </c>
      <c r="M140" s="48" t="e">
        <f t="shared" si="85"/>
        <v>#REF!</v>
      </c>
      <c r="N140" s="48" t="e">
        <f t="shared" si="85"/>
        <v>#REF!</v>
      </c>
      <c r="O140" s="48" t="e">
        <f t="shared" si="85"/>
        <v>#REF!</v>
      </c>
      <c r="P140" s="48" t="e">
        <f t="shared" si="85"/>
        <v>#REF!</v>
      </c>
      <c r="Q140" s="48" t="e">
        <f t="shared" si="85"/>
        <v>#REF!</v>
      </c>
    </row>
    <row r="141" spans="1:17" x14ac:dyDescent="0.25">
      <c r="A141">
        <v>560</v>
      </c>
      <c r="B141" s="18" t="s">
        <v>122</v>
      </c>
      <c r="C141" t="s">
        <v>43</v>
      </c>
      <c r="D141" s="84">
        <f>5*182</f>
        <v>910</v>
      </c>
      <c r="E141"/>
      <c r="F141" s="59" t="e">
        <f t="shared" ref="F141:Q141" si="86">$D141*F$186*(1+F$9)</f>
        <v>#REF!</v>
      </c>
      <c r="G141" s="59" t="e">
        <f t="shared" si="86"/>
        <v>#REF!</v>
      </c>
      <c r="H141" s="59" t="e">
        <f t="shared" si="86"/>
        <v>#REF!</v>
      </c>
      <c r="I141" s="59" t="e">
        <f t="shared" si="86"/>
        <v>#REF!</v>
      </c>
      <c r="J141" s="59" t="e">
        <f t="shared" si="86"/>
        <v>#REF!</v>
      </c>
      <c r="K141" s="59" t="e">
        <f t="shared" si="86"/>
        <v>#REF!</v>
      </c>
      <c r="L141" s="59" t="e">
        <f t="shared" si="86"/>
        <v>#REF!</v>
      </c>
      <c r="M141" s="59" t="e">
        <f t="shared" si="86"/>
        <v>#REF!</v>
      </c>
      <c r="N141" s="59" t="e">
        <f t="shared" si="86"/>
        <v>#REF!</v>
      </c>
      <c r="O141" s="59" t="e">
        <f t="shared" si="86"/>
        <v>#REF!</v>
      </c>
      <c r="P141" s="59" t="e">
        <f t="shared" si="86"/>
        <v>#REF!</v>
      </c>
      <c r="Q141" s="59" t="e">
        <f t="shared" si="86"/>
        <v>#REF!</v>
      </c>
    </row>
    <row r="142" spans="1:17" x14ac:dyDescent="0.25">
      <c r="A142">
        <v>580</v>
      </c>
      <c r="B142" s="18" t="s">
        <v>79</v>
      </c>
      <c r="D142" s="83"/>
      <c r="E142"/>
    </row>
    <row r="143" spans="1:17" x14ac:dyDescent="0.25">
      <c r="A143">
        <v>590</v>
      </c>
      <c r="B143" s="18" t="s">
        <v>44</v>
      </c>
      <c r="C143" t="s">
        <v>45</v>
      </c>
      <c r="D143" s="84">
        <v>15000</v>
      </c>
      <c r="E143"/>
      <c r="F143" s="59" t="e">
        <f t="shared" ref="F143:Q143" si="87">IF(F$186&gt;0,$D143*(1+F$9),0)</f>
        <v>#REF!</v>
      </c>
      <c r="G143" s="59" t="e">
        <f t="shared" si="87"/>
        <v>#REF!</v>
      </c>
      <c r="H143" s="59" t="e">
        <f t="shared" si="87"/>
        <v>#REF!</v>
      </c>
      <c r="I143" s="59" t="e">
        <f t="shared" si="87"/>
        <v>#REF!</v>
      </c>
      <c r="J143" s="59" t="e">
        <f t="shared" si="87"/>
        <v>#REF!</v>
      </c>
      <c r="K143" s="59" t="e">
        <f t="shared" si="87"/>
        <v>#REF!</v>
      </c>
      <c r="L143" s="59" t="e">
        <f t="shared" si="87"/>
        <v>#REF!</v>
      </c>
      <c r="M143" s="59" t="e">
        <f t="shared" si="87"/>
        <v>#REF!</v>
      </c>
      <c r="N143" s="59" t="e">
        <f t="shared" si="87"/>
        <v>#REF!</v>
      </c>
      <c r="O143" s="59" t="e">
        <f t="shared" si="87"/>
        <v>#REF!</v>
      </c>
      <c r="P143" s="59" t="e">
        <f t="shared" si="87"/>
        <v>#REF!</v>
      </c>
      <c r="Q143" s="59" t="e">
        <f t="shared" si="87"/>
        <v>#REF!</v>
      </c>
    </row>
    <row r="144" spans="1:17" x14ac:dyDescent="0.25">
      <c r="A144">
        <v>600</v>
      </c>
      <c r="B144" s="18" t="s">
        <v>80</v>
      </c>
      <c r="D144" s="83"/>
      <c r="E144"/>
    </row>
    <row r="145" spans="1:17" x14ac:dyDescent="0.25">
      <c r="A145">
        <v>700</v>
      </c>
      <c r="B145" s="18" t="s">
        <v>81</v>
      </c>
      <c r="D145" s="83"/>
      <c r="E145"/>
    </row>
    <row r="146" spans="1:17" x14ac:dyDescent="0.25">
      <c r="A146">
        <v>750</v>
      </c>
      <c r="B146" s="18" t="s">
        <v>82</v>
      </c>
      <c r="D146" s="83"/>
      <c r="E146"/>
    </row>
    <row r="147" spans="1:17" outlineLevel="1" x14ac:dyDescent="0.25">
      <c r="A147"/>
      <c r="B147" s="18" t="s">
        <v>123</v>
      </c>
      <c r="C147" t="s">
        <v>198</v>
      </c>
      <c r="D147" s="84">
        <v>6400</v>
      </c>
      <c r="E147"/>
      <c r="F147" s="59" t="e">
        <f t="shared" ref="F147:Q148" si="88">IF(F$186&gt;0,$D147*(1+F$9),0)</f>
        <v>#REF!</v>
      </c>
      <c r="G147" s="59" t="e">
        <f t="shared" si="88"/>
        <v>#REF!</v>
      </c>
      <c r="H147" s="59" t="e">
        <f t="shared" si="88"/>
        <v>#REF!</v>
      </c>
      <c r="I147" s="59" t="e">
        <f t="shared" si="88"/>
        <v>#REF!</v>
      </c>
      <c r="J147" s="59" t="e">
        <f t="shared" si="88"/>
        <v>#REF!</v>
      </c>
      <c r="K147" s="59" t="e">
        <f t="shared" si="88"/>
        <v>#REF!</v>
      </c>
      <c r="L147" s="59" t="e">
        <f t="shared" si="88"/>
        <v>#REF!</v>
      </c>
      <c r="M147" s="59" t="e">
        <f t="shared" si="88"/>
        <v>#REF!</v>
      </c>
      <c r="N147" s="59" t="e">
        <f t="shared" si="88"/>
        <v>#REF!</v>
      </c>
      <c r="O147" s="59" t="e">
        <f t="shared" si="88"/>
        <v>#REF!</v>
      </c>
      <c r="P147" s="59" t="e">
        <f t="shared" si="88"/>
        <v>#REF!</v>
      </c>
      <c r="Q147" s="59" t="e">
        <f t="shared" si="88"/>
        <v>#REF!</v>
      </c>
    </row>
    <row r="148" spans="1:17" outlineLevel="1" x14ac:dyDescent="0.25">
      <c r="A148"/>
      <c r="B148" s="18" t="s">
        <v>124</v>
      </c>
      <c r="C148" t="s">
        <v>132</v>
      </c>
      <c r="D148" s="84">
        <v>1950</v>
      </c>
      <c r="E148"/>
      <c r="F148" s="59" t="e">
        <f t="shared" si="88"/>
        <v>#REF!</v>
      </c>
      <c r="G148" s="59" t="e">
        <f t="shared" si="88"/>
        <v>#REF!</v>
      </c>
      <c r="H148" s="59" t="e">
        <f t="shared" si="88"/>
        <v>#REF!</v>
      </c>
      <c r="I148" s="59" t="e">
        <f t="shared" si="88"/>
        <v>#REF!</v>
      </c>
      <c r="J148" s="59" t="e">
        <f t="shared" si="88"/>
        <v>#REF!</v>
      </c>
      <c r="K148" s="59" t="e">
        <f t="shared" si="88"/>
        <v>#REF!</v>
      </c>
      <c r="L148" s="59" t="e">
        <f t="shared" si="88"/>
        <v>#REF!</v>
      </c>
      <c r="M148" s="59" t="e">
        <f t="shared" si="88"/>
        <v>#REF!</v>
      </c>
      <c r="N148" s="59" t="e">
        <f t="shared" si="88"/>
        <v>#REF!</v>
      </c>
      <c r="O148" s="59" t="e">
        <f t="shared" si="88"/>
        <v>#REF!</v>
      </c>
      <c r="P148" s="59" t="e">
        <f t="shared" si="88"/>
        <v>#REF!</v>
      </c>
      <c r="Q148" s="59" t="e">
        <f t="shared" si="88"/>
        <v>#REF!</v>
      </c>
    </row>
    <row r="149" spans="1:17" outlineLevel="1" x14ac:dyDescent="0.25">
      <c r="A149"/>
      <c r="B149" s="18" t="s">
        <v>124</v>
      </c>
      <c r="C149" t="s">
        <v>131</v>
      </c>
      <c r="D149" s="86">
        <f>731/451</f>
        <v>1.6208425720620843</v>
      </c>
      <c r="E149"/>
      <c r="F149" s="59" t="e">
        <f t="shared" ref="F149:Q149" si="89">$D149*F$186*(1+F$9)*4</f>
        <v>#REF!</v>
      </c>
      <c r="G149" s="59" t="e">
        <f t="shared" si="89"/>
        <v>#REF!</v>
      </c>
      <c r="H149" s="59" t="e">
        <f t="shared" si="89"/>
        <v>#REF!</v>
      </c>
      <c r="I149" s="59" t="e">
        <f t="shared" si="89"/>
        <v>#REF!</v>
      </c>
      <c r="J149" s="59" t="e">
        <f t="shared" si="89"/>
        <v>#REF!</v>
      </c>
      <c r="K149" s="59" t="e">
        <f t="shared" si="89"/>
        <v>#REF!</v>
      </c>
      <c r="L149" s="59" t="e">
        <f t="shared" si="89"/>
        <v>#REF!</v>
      </c>
      <c r="M149" s="59" t="e">
        <f t="shared" si="89"/>
        <v>#REF!</v>
      </c>
      <c r="N149" s="59" t="e">
        <f t="shared" si="89"/>
        <v>#REF!</v>
      </c>
      <c r="O149" s="59" t="e">
        <f t="shared" si="89"/>
        <v>#REF!</v>
      </c>
      <c r="P149" s="59" t="e">
        <f t="shared" si="89"/>
        <v>#REF!</v>
      </c>
      <c r="Q149" s="59" t="e">
        <f t="shared" si="89"/>
        <v>#REF!</v>
      </c>
    </row>
    <row r="150" spans="1:17" outlineLevel="1" x14ac:dyDescent="0.25">
      <c r="A150"/>
      <c r="B150" s="18" t="s">
        <v>125</v>
      </c>
      <c r="C150" t="s">
        <v>126</v>
      </c>
      <c r="D150" s="84">
        <v>3600</v>
      </c>
      <c r="E150"/>
      <c r="F150" s="59" t="e">
        <f t="shared" ref="F150:Q152" si="90">IF(F$186&gt;0,$D150*(1+F$9),0)</f>
        <v>#REF!</v>
      </c>
      <c r="G150" s="59" t="e">
        <f t="shared" si="90"/>
        <v>#REF!</v>
      </c>
      <c r="H150" s="59" t="e">
        <f t="shared" si="90"/>
        <v>#REF!</v>
      </c>
      <c r="I150" s="59" t="e">
        <f t="shared" si="90"/>
        <v>#REF!</v>
      </c>
      <c r="J150" s="59" t="e">
        <f t="shared" si="90"/>
        <v>#REF!</v>
      </c>
      <c r="K150" s="59" t="e">
        <f t="shared" si="90"/>
        <v>#REF!</v>
      </c>
      <c r="L150" s="59" t="e">
        <f t="shared" si="90"/>
        <v>#REF!</v>
      </c>
      <c r="M150" s="59" t="e">
        <f t="shared" si="90"/>
        <v>#REF!</v>
      </c>
      <c r="N150" s="59" t="e">
        <f t="shared" si="90"/>
        <v>#REF!</v>
      </c>
      <c r="O150" s="59" t="e">
        <f t="shared" si="90"/>
        <v>#REF!</v>
      </c>
      <c r="P150" s="59" t="e">
        <f t="shared" si="90"/>
        <v>#REF!</v>
      </c>
      <c r="Q150" s="59" t="e">
        <f t="shared" si="90"/>
        <v>#REF!</v>
      </c>
    </row>
    <row r="151" spans="1:17" outlineLevel="1" x14ac:dyDescent="0.25">
      <c r="A151"/>
      <c r="B151" s="18" t="s">
        <v>127</v>
      </c>
      <c r="C151" t="s">
        <v>128</v>
      </c>
      <c r="D151" s="84">
        <v>5400</v>
      </c>
      <c r="E151"/>
      <c r="F151" s="59" t="e">
        <f t="shared" si="90"/>
        <v>#REF!</v>
      </c>
      <c r="G151" s="59" t="e">
        <f t="shared" si="90"/>
        <v>#REF!</v>
      </c>
      <c r="H151" s="59" t="e">
        <f t="shared" si="90"/>
        <v>#REF!</v>
      </c>
      <c r="I151" s="59" t="e">
        <f t="shared" si="90"/>
        <v>#REF!</v>
      </c>
      <c r="J151" s="59" t="e">
        <f t="shared" si="90"/>
        <v>#REF!</v>
      </c>
      <c r="K151" s="59" t="e">
        <f t="shared" si="90"/>
        <v>#REF!</v>
      </c>
      <c r="L151" s="59" t="e">
        <f t="shared" si="90"/>
        <v>#REF!</v>
      </c>
      <c r="M151" s="59" t="e">
        <f t="shared" si="90"/>
        <v>#REF!</v>
      </c>
      <c r="N151" s="59" t="e">
        <f t="shared" si="90"/>
        <v>#REF!</v>
      </c>
      <c r="O151" s="59" t="e">
        <f t="shared" si="90"/>
        <v>#REF!</v>
      </c>
      <c r="P151" s="59" t="e">
        <f t="shared" si="90"/>
        <v>#REF!</v>
      </c>
      <c r="Q151" s="59" t="e">
        <f t="shared" si="90"/>
        <v>#REF!</v>
      </c>
    </row>
    <row r="152" spans="1:17" outlineLevel="1" x14ac:dyDescent="0.25">
      <c r="A152"/>
      <c r="B152" s="18" t="s">
        <v>129</v>
      </c>
      <c r="C152" t="s">
        <v>184</v>
      </c>
      <c r="D152" s="84">
        <v>904</v>
      </c>
      <c r="E152"/>
      <c r="F152" s="59" t="e">
        <f t="shared" si="90"/>
        <v>#REF!</v>
      </c>
      <c r="G152" s="59" t="e">
        <f t="shared" si="90"/>
        <v>#REF!</v>
      </c>
      <c r="H152" s="59" t="e">
        <f t="shared" si="90"/>
        <v>#REF!</v>
      </c>
      <c r="I152" s="59" t="e">
        <f t="shared" si="90"/>
        <v>#REF!</v>
      </c>
      <c r="J152" s="59" t="e">
        <f t="shared" si="90"/>
        <v>#REF!</v>
      </c>
      <c r="K152" s="59" t="e">
        <f t="shared" si="90"/>
        <v>#REF!</v>
      </c>
      <c r="L152" s="59" t="e">
        <f t="shared" si="90"/>
        <v>#REF!</v>
      </c>
      <c r="M152" s="59" t="e">
        <f t="shared" si="90"/>
        <v>#REF!</v>
      </c>
      <c r="N152" s="59" t="e">
        <f t="shared" si="90"/>
        <v>#REF!</v>
      </c>
      <c r="O152" s="59" t="e">
        <f t="shared" si="90"/>
        <v>#REF!</v>
      </c>
      <c r="P152" s="59" t="e">
        <f t="shared" si="90"/>
        <v>#REF!</v>
      </c>
      <c r="Q152" s="59" t="e">
        <f t="shared" si="90"/>
        <v>#REF!</v>
      </c>
    </row>
    <row r="153" spans="1:17" outlineLevel="1" x14ac:dyDescent="0.25">
      <c r="A153"/>
      <c r="B153" s="18" t="s">
        <v>191</v>
      </c>
      <c r="C153" t="s">
        <v>112</v>
      </c>
      <c r="D153" s="84">
        <v>135</v>
      </c>
      <c r="E153"/>
      <c r="F153" s="59" t="e">
        <f t="shared" ref="F153:Q155" si="91">IF(F$186&gt;0,$D153*(1+F$9),0)*12</f>
        <v>#REF!</v>
      </c>
      <c r="G153" s="59" t="e">
        <f t="shared" si="91"/>
        <v>#REF!</v>
      </c>
      <c r="H153" s="59" t="e">
        <f t="shared" si="91"/>
        <v>#REF!</v>
      </c>
      <c r="I153" s="59" t="e">
        <f t="shared" si="91"/>
        <v>#REF!</v>
      </c>
      <c r="J153" s="59" t="e">
        <f t="shared" si="91"/>
        <v>#REF!</v>
      </c>
      <c r="K153" s="59" t="e">
        <f t="shared" si="91"/>
        <v>#REF!</v>
      </c>
      <c r="L153" s="59" t="e">
        <f t="shared" si="91"/>
        <v>#REF!</v>
      </c>
      <c r="M153" s="59" t="e">
        <f t="shared" si="91"/>
        <v>#REF!</v>
      </c>
      <c r="N153" s="59" t="e">
        <f t="shared" si="91"/>
        <v>#REF!</v>
      </c>
      <c r="O153" s="59" t="e">
        <f t="shared" si="91"/>
        <v>#REF!</v>
      </c>
      <c r="P153" s="59" t="e">
        <f t="shared" si="91"/>
        <v>#REF!</v>
      </c>
      <c r="Q153" s="59" t="e">
        <f t="shared" si="91"/>
        <v>#REF!</v>
      </c>
    </row>
    <row r="154" spans="1:17" outlineLevel="1" x14ac:dyDescent="0.25">
      <c r="A154"/>
      <c r="B154" s="18" t="s">
        <v>193</v>
      </c>
      <c r="C154" t="s">
        <v>112</v>
      </c>
      <c r="D154" s="84">
        <v>172</v>
      </c>
      <c r="E154"/>
      <c r="F154" s="59" t="e">
        <f t="shared" si="91"/>
        <v>#REF!</v>
      </c>
      <c r="G154" s="59" t="e">
        <f t="shared" si="91"/>
        <v>#REF!</v>
      </c>
      <c r="H154" s="59" t="e">
        <f t="shared" si="91"/>
        <v>#REF!</v>
      </c>
      <c r="I154" s="59" t="e">
        <f t="shared" si="91"/>
        <v>#REF!</v>
      </c>
      <c r="J154" s="59" t="e">
        <f t="shared" si="91"/>
        <v>#REF!</v>
      </c>
      <c r="K154" s="59" t="e">
        <f t="shared" si="91"/>
        <v>#REF!</v>
      </c>
      <c r="L154" s="59" t="e">
        <f t="shared" si="91"/>
        <v>#REF!</v>
      </c>
      <c r="M154" s="59" t="e">
        <f t="shared" si="91"/>
        <v>#REF!</v>
      </c>
      <c r="N154" s="59" t="e">
        <f t="shared" si="91"/>
        <v>#REF!</v>
      </c>
      <c r="O154" s="59" t="e">
        <f t="shared" si="91"/>
        <v>#REF!</v>
      </c>
      <c r="P154" s="59" t="e">
        <f t="shared" si="91"/>
        <v>#REF!</v>
      </c>
      <c r="Q154" s="59" t="e">
        <f t="shared" si="91"/>
        <v>#REF!</v>
      </c>
    </row>
    <row r="155" spans="1:17" outlineLevel="1" x14ac:dyDescent="0.25">
      <c r="A155"/>
      <c r="B155" s="18" t="s">
        <v>192</v>
      </c>
      <c r="C155" t="s">
        <v>112</v>
      </c>
      <c r="D155" s="84">
        <v>503.84624999999994</v>
      </c>
      <c r="E155"/>
      <c r="F155" s="59" t="e">
        <f t="shared" si="91"/>
        <v>#REF!</v>
      </c>
      <c r="G155" s="59" t="e">
        <f t="shared" si="91"/>
        <v>#REF!</v>
      </c>
      <c r="H155" s="59" t="e">
        <f t="shared" si="91"/>
        <v>#REF!</v>
      </c>
      <c r="I155" s="59" t="e">
        <f t="shared" si="91"/>
        <v>#REF!</v>
      </c>
      <c r="J155" s="59" t="e">
        <f t="shared" si="91"/>
        <v>#REF!</v>
      </c>
      <c r="K155" s="59" t="e">
        <f t="shared" si="91"/>
        <v>#REF!</v>
      </c>
      <c r="L155" s="59" t="e">
        <f t="shared" si="91"/>
        <v>#REF!</v>
      </c>
      <c r="M155" s="59" t="e">
        <f t="shared" si="91"/>
        <v>#REF!</v>
      </c>
      <c r="N155" s="59" t="e">
        <f t="shared" si="91"/>
        <v>#REF!</v>
      </c>
      <c r="O155" s="59" t="e">
        <f t="shared" si="91"/>
        <v>#REF!</v>
      </c>
      <c r="P155" s="59" t="e">
        <f t="shared" si="91"/>
        <v>#REF!</v>
      </c>
      <c r="Q155" s="59" t="e">
        <f t="shared" si="91"/>
        <v>#REF!</v>
      </c>
    </row>
    <row r="156" spans="1:17" outlineLevel="1" x14ac:dyDescent="0.25">
      <c r="A156"/>
      <c r="B156" s="18" t="s">
        <v>194</v>
      </c>
      <c r="C156" t="s">
        <v>195</v>
      </c>
      <c r="D156" s="84">
        <v>75</v>
      </c>
      <c r="E156"/>
      <c r="F156" s="59" t="e">
        <f t="shared" ref="F156:Q156" si="92">$D156*12*(1+F$9)*SUM(F$206:F$208)</f>
        <v>#REF!</v>
      </c>
      <c r="G156" s="59" t="e">
        <f t="shared" si="92"/>
        <v>#REF!</v>
      </c>
      <c r="H156" s="59" t="e">
        <f t="shared" si="92"/>
        <v>#REF!</v>
      </c>
      <c r="I156" s="59" t="e">
        <f t="shared" si="92"/>
        <v>#REF!</v>
      </c>
      <c r="J156" s="59" t="e">
        <f t="shared" si="92"/>
        <v>#REF!</v>
      </c>
      <c r="K156" s="59" t="e">
        <f t="shared" si="92"/>
        <v>#REF!</v>
      </c>
      <c r="L156" s="59" t="e">
        <f t="shared" si="92"/>
        <v>#REF!</v>
      </c>
      <c r="M156" s="59" t="e">
        <f t="shared" si="92"/>
        <v>#REF!</v>
      </c>
      <c r="N156" s="59" t="e">
        <f t="shared" si="92"/>
        <v>#REF!</v>
      </c>
      <c r="O156" s="59" t="e">
        <f t="shared" si="92"/>
        <v>#REF!</v>
      </c>
      <c r="P156" s="59" t="e">
        <f t="shared" si="92"/>
        <v>#REF!</v>
      </c>
      <c r="Q156" s="59" t="e">
        <f t="shared" si="92"/>
        <v>#REF!</v>
      </c>
    </row>
    <row r="157" spans="1:17" outlineLevel="1" x14ac:dyDescent="0.25">
      <c r="A157"/>
      <c r="B157" s="18" t="s">
        <v>196</v>
      </c>
      <c r="C157" t="s">
        <v>112</v>
      </c>
      <c r="D157" s="84">
        <v>105</v>
      </c>
      <c r="E157"/>
      <c r="F157" s="59" t="e">
        <f t="shared" ref="F157:Q157" si="93">IF(F$186&gt;0,$D157*(1+F$9),0)*12</f>
        <v>#REF!</v>
      </c>
      <c r="G157" s="59" t="e">
        <f t="shared" si="93"/>
        <v>#REF!</v>
      </c>
      <c r="H157" s="59" t="e">
        <f t="shared" si="93"/>
        <v>#REF!</v>
      </c>
      <c r="I157" s="59" t="e">
        <f t="shared" si="93"/>
        <v>#REF!</v>
      </c>
      <c r="J157" s="59" t="e">
        <f t="shared" si="93"/>
        <v>#REF!</v>
      </c>
      <c r="K157" s="59" t="e">
        <f t="shared" si="93"/>
        <v>#REF!</v>
      </c>
      <c r="L157" s="59" t="e">
        <f t="shared" si="93"/>
        <v>#REF!</v>
      </c>
      <c r="M157" s="59" t="e">
        <f t="shared" si="93"/>
        <v>#REF!</v>
      </c>
      <c r="N157" s="59" t="e">
        <f t="shared" si="93"/>
        <v>#REF!</v>
      </c>
      <c r="O157" s="59" t="e">
        <f t="shared" si="93"/>
        <v>#REF!</v>
      </c>
      <c r="P157" s="59" t="e">
        <f t="shared" si="93"/>
        <v>#REF!</v>
      </c>
      <c r="Q157" s="59" t="e">
        <f t="shared" si="93"/>
        <v>#REF!</v>
      </c>
    </row>
    <row r="158" spans="1:17" outlineLevel="1" x14ac:dyDescent="0.25">
      <c r="A158"/>
      <c r="B158" s="18" t="s">
        <v>130</v>
      </c>
      <c r="C158" t="s">
        <v>304</v>
      </c>
      <c r="D158" s="84">
        <v>0</v>
      </c>
      <c r="E158"/>
      <c r="F158" s="59" t="e">
        <f t="shared" ref="F158:Q159" si="94">IF(F$186&gt;0,$D158*(1+F$9),0)</f>
        <v>#REF!</v>
      </c>
      <c r="G158" s="59" t="e">
        <f t="shared" si="94"/>
        <v>#REF!</v>
      </c>
      <c r="H158" s="59" t="e">
        <f t="shared" si="94"/>
        <v>#REF!</v>
      </c>
      <c r="I158" s="59" t="e">
        <f t="shared" si="94"/>
        <v>#REF!</v>
      </c>
      <c r="J158" s="59" t="e">
        <f t="shared" si="94"/>
        <v>#REF!</v>
      </c>
      <c r="K158" s="59" t="e">
        <f t="shared" si="94"/>
        <v>#REF!</v>
      </c>
      <c r="L158" s="59" t="e">
        <f t="shared" si="94"/>
        <v>#REF!</v>
      </c>
      <c r="M158" s="59" t="e">
        <f t="shared" si="94"/>
        <v>#REF!</v>
      </c>
      <c r="N158" s="59" t="e">
        <f t="shared" si="94"/>
        <v>#REF!</v>
      </c>
      <c r="O158" s="59" t="e">
        <f t="shared" si="94"/>
        <v>#REF!</v>
      </c>
      <c r="P158" s="59" t="e">
        <f t="shared" si="94"/>
        <v>#REF!</v>
      </c>
      <c r="Q158" s="59" t="e">
        <f t="shared" si="94"/>
        <v>#REF!</v>
      </c>
    </row>
    <row r="159" spans="1:17" outlineLevel="1" x14ac:dyDescent="0.25">
      <c r="A159"/>
      <c r="B159" s="18" t="s">
        <v>130</v>
      </c>
      <c r="C159" t="s">
        <v>303</v>
      </c>
      <c r="D159" s="84">
        <v>0</v>
      </c>
      <c r="E159"/>
      <c r="F159" s="59" t="e">
        <f t="shared" si="94"/>
        <v>#REF!</v>
      </c>
      <c r="G159" s="59" t="e">
        <f t="shared" si="94"/>
        <v>#REF!</v>
      </c>
      <c r="H159" s="59" t="e">
        <f t="shared" si="94"/>
        <v>#REF!</v>
      </c>
      <c r="I159" s="59" t="e">
        <f t="shared" si="94"/>
        <v>#REF!</v>
      </c>
      <c r="J159" s="59" t="e">
        <f t="shared" si="94"/>
        <v>#REF!</v>
      </c>
      <c r="K159" s="59" t="e">
        <f t="shared" si="94"/>
        <v>#REF!</v>
      </c>
      <c r="L159" s="59" t="e">
        <f t="shared" si="94"/>
        <v>#REF!</v>
      </c>
      <c r="M159" s="59" t="e">
        <f t="shared" si="94"/>
        <v>#REF!</v>
      </c>
      <c r="N159" s="59" t="e">
        <f t="shared" si="94"/>
        <v>#REF!</v>
      </c>
      <c r="O159" s="59" t="e">
        <f t="shared" si="94"/>
        <v>#REF!</v>
      </c>
      <c r="P159" s="59" t="e">
        <f t="shared" si="94"/>
        <v>#REF!</v>
      </c>
      <c r="Q159" s="59" t="e">
        <f t="shared" si="94"/>
        <v>#REF!</v>
      </c>
    </row>
    <row r="160" spans="1:17" outlineLevel="1" x14ac:dyDescent="0.25">
      <c r="A160"/>
      <c r="B160" s="18" t="s">
        <v>130</v>
      </c>
      <c r="C160" t="s">
        <v>190</v>
      </c>
      <c r="D160" s="84">
        <v>30</v>
      </c>
      <c r="E160"/>
      <c r="F160" s="75" t="e">
        <f t="shared" ref="F160:Q160" si="95">$D160*(1+F$9)*F$202</f>
        <v>#REF!</v>
      </c>
      <c r="G160" s="75" t="e">
        <f t="shared" si="95"/>
        <v>#REF!</v>
      </c>
      <c r="H160" s="75" t="e">
        <f t="shared" si="95"/>
        <v>#REF!</v>
      </c>
      <c r="I160" s="75" t="e">
        <f t="shared" si="95"/>
        <v>#REF!</v>
      </c>
      <c r="J160" s="75" t="e">
        <f t="shared" si="95"/>
        <v>#REF!</v>
      </c>
      <c r="K160" s="75" t="e">
        <f t="shared" si="95"/>
        <v>#REF!</v>
      </c>
      <c r="L160" s="75" t="e">
        <f t="shared" si="95"/>
        <v>#REF!</v>
      </c>
      <c r="M160" s="75" t="e">
        <f t="shared" si="95"/>
        <v>#REF!</v>
      </c>
      <c r="N160" s="75" t="e">
        <f t="shared" si="95"/>
        <v>#REF!</v>
      </c>
      <c r="O160" s="75" t="e">
        <f t="shared" si="95"/>
        <v>#REF!</v>
      </c>
      <c r="P160" s="75" t="e">
        <f t="shared" si="95"/>
        <v>#REF!</v>
      </c>
      <c r="Q160" s="75" t="e">
        <f t="shared" si="95"/>
        <v>#REF!</v>
      </c>
    </row>
    <row r="161" spans="1:18" outlineLevel="1" x14ac:dyDescent="0.25">
      <c r="A161"/>
      <c r="B161" s="18" t="s">
        <v>130</v>
      </c>
      <c r="C161" t="s">
        <v>197</v>
      </c>
      <c r="D161" s="84">
        <v>500</v>
      </c>
      <c r="E161"/>
      <c r="F161" s="59" t="e">
        <f t="shared" ref="F161:Q161" si="96">IF(F$186&gt;0,$D161*(1+F$9),0)</f>
        <v>#REF!</v>
      </c>
      <c r="G161" s="59" t="e">
        <f t="shared" si="96"/>
        <v>#REF!</v>
      </c>
      <c r="H161" s="59" t="e">
        <f t="shared" si="96"/>
        <v>#REF!</v>
      </c>
      <c r="I161" s="59" t="e">
        <f t="shared" si="96"/>
        <v>#REF!</v>
      </c>
      <c r="J161" s="59" t="e">
        <f t="shared" si="96"/>
        <v>#REF!</v>
      </c>
      <c r="K161" s="59" t="e">
        <f t="shared" si="96"/>
        <v>#REF!</v>
      </c>
      <c r="L161" s="59" t="e">
        <f t="shared" si="96"/>
        <v>#REF!</v>
      </c>
      <c r="M161" s="59" t="e">
        <f t="shared" si="96"/>
        <v>#REF!</v>
      </c>
      <c r="N161" s="59" t="e">
        <f t="shared" si="96"/>
        <v>#REF!</v>
      </c>
      <c r="O161" s="59" t="e">
        <f t="shared" si="96"/>
        <v>#REF!</v>
      </c>
      <c r="P161" s="59" t="e">
        <f t="shared" si="96"/>
        <v>#REF!</v>
      </c>
      <c r="Q161" s="59" t="e">
        <f t="shared" si="96"/>
        <v>#REF!</v>
      </c>
    </row>
    <row r="162" spans="1:18" outlineLevel="1" x14ac:dyDescent="0.25">
      <c r="A162"/>
      <c r="B162" s="18" t="s">
        <v>265</v>
      </c>
      <c r="C162" t="s">
        <v>270</v>
      </c>
      <c r="D162" s="99">
        <v>0.01</v>
      </c>
      <c r="E162"/>
      <c r="F162" s="59" t="e">
        <f t="shared" ref="F162:Q162" si="97">$D162*(F25+F38+F39)</f>
        <v>#REF!</v>
      </c>
      <c r="G162" s="59" t="e">
        <f t="shared" si="97"/>
        <v>#REF!</v>
      </c>
      <c r="H162" s="59" t="e">
        <f t="shared" si="97"/>
        <v>#REF!</v>
      </c>
      <c r="I162" s="59" t="e">
        <f t="shared" si="97"/>
        <v>#REF!</v>
      </c>
      <c r="J162" s="59" t="e">
        <f t="shared" si="97"/>
        <v>#REF!</v>
      </c>
      <c r="K162" s="59" t="e">
        <f t="shared" si="97"/>
        <v>#REF!</v>
      </c>
      <c r="L162" s="59" t="e">
        <f t="shared" si="97"/>
        <v>#REF!</v>
      </c>
      <c r="M162" s="59" t="e">
        <f t="shared" si="97"/>
        <v>#REF!</v>
      </c>
      <c r="N162" s="59" t="e">
        <f t="shared" si="97"/>
        <v>#REF!</v>
      </c>
      <c r="O162" s="59" t="e">
        <f t="shared" si="97"/>
        <v>#REF!</v>
      </c>
      <c r="P162" s="59" t="e">
        <f t="shared" si="97"/>
        <v>#REF!</v>
      </c>
      <c r="Q162" s="59" t="e">
        <f t="shared" si="97"/>
        <v>#REF!</v>
      </c>
    </row>
    <row r="163" spans="1:18" outlineLevel="1" x14ac:dyDescent="0.25">
      <c r="A163"/>
      <c r="B163" s="18" t="s">
        <v>181</v>
      </c>
      <c r="C163" t="s">
        <v>182</v>
      </c>
      <c r="D163" s="99">
        <v>0.09</v>
      </c>
      <c r="E163"/>
      <c r="F163" s="49" t="e">
        <f>$D163*(F$53-SUM(F48:F$49)-F$51)</f>
        <v>#REF!</v>
      </c>
      <c r="G163" s="49" t="e">
        <f>$D163*(G$53-SUM(G48:G$49)-G$51)</f>
        <v>#REF!</v>
      </c>
      <c r="H163" s="49" t="e">
        <f>$D163*(H$53-SUM(H48:H$49)-H$51)</f>
        <v>#REF!</v>
      </c>
      <c r="I163" s="49" t="e">
        <f>$D163*(I$53-SUM(I48:I$49)-I$51)</f>
        <v>#REF!</v>
      </c>
      <c r="J163" s="49" t="e">
        <f>$D163*(J$53-SUM(J48:J$49)-J$51)</f>
        <v>#REF!</v>
      </c>
      <c r="K163" s="49" t="e">
        <f>$D163*(K$53-SUM(K48:K$49)-K$51)</f>
        <v>#REF!</v>
      </c>
      <c r="L163" s="49" t="e">
        <f>$D163*(L$53-SUM(L48:L$49)-L$51)</f>
        <v>#REF!</v>
      </c>
      <c r="M163" s="49" t="e">
        <f>$D163*(M$53-SUM(M48:M$49)-M$51)</f>
        <v>#REF!</v>
      </c>
      <c r="N163" s="49" t="e">
        <f>$D163*(N$53-SUM(N48:N$49)-N$51)</f>
        <v>#REF!</v>
      </c>
      <c r="O163" s="49" t="e">
        <f>$D163*(O$53-SUM(O48:O$49)-O$51)</f>
        <v>#REF!</v>
      </c>
      <c r="P163" s="49" t="e">
        <f>$D163*(P$53-SUM(P48:P$49)-P$51)</f>
        <v>#REF!</v>
      </c>
      <c r="Q163" s="49" t="e">
        <f>$D163*(Q$53-SUM(Q48:Q$49)-Q$51)</f>
        <v>#REF!</v>
      </c>
    </row>
    <row r="164" spans="1:18" x14ac:dyDescent="0.25">
      <c r="A164">
        <v>800</v>
      </c>
      <c r="B164" s="18" t="s">
        <v>83</v>
      </c>
      <c r="D164" s="60"/>
      <c r="E164"/>
      <c r="F164" s="48" t="e">
        <f t="shared" ref="F164:Q164" si="98">SUM(F147:F163)</f>
        <v>#REF!</v>
      </c>
      <c r="G164" s="48" t="e">
        <f t="shared" si="98"/>
        <v>#REF!</v>
      </c>
      <c r="H164" s="48" t="e">
        <f t="shared" si="98"/>
        <v>#REF!</v>
      </c>
      <c r="I164" s="48" t="e">
        <f t="shared" si="98"/>
        <v>#REF!</v>
      </c>
      <c r="J164" s="48" t="e">
        <f t="shared" si="98"/>
        <v>#REF!</v>
      </c>
      <c r="K164" s="48" t="e">
        <f t="shared" si="98"/>
        <v>#REF!</v>
      </c>
      <c r="L164" s="48" t="e">
        <f t="shared" si="98"/>
        <v>#REF!</v>
      </c>
      <c r="M164" s="48" t="e">
        <f t="shared" si="98"/>
        <v>#REF!</v>
      </c>
      <c r="N164" s="48" t="e">
        <f t="shared" si="98"/>
        <v>#REF!</v>
      </c>
      <c r="O164" s="48" t="e">
        <f t="shared" si="98"/>
        <v>#REF!</v>
      </c>
      <c r="P164" s="48" t="e">
        <f t="shared" si="98"/>
        <v>#REF!</v>
      </c>
      <c r="Q164" s="48" t="e">
        <f t="shared" si="98"/>
        <v>#REF!</v>
      </c>
    </row>
    <row r="165" spans="1:18" x14ac:dyDescent="0.25">
      <c r="A165">
        <v>850</v>
      </c>
      <c r="B165" s="18" t="s">
        <v>84</v>
      </c>
      <c r="C165" t="s">
        <v>302</v>
      </c>
      <c r="D165" s="84"/>
      <c r="E165"/>
      <c r="F165" s="59" t="e">
        <f t="shared" ref="F165:Q165" si="99">IF(F$186&gt;0,$D165*(1+F$9),0)</f>
        <v>#REF!</v>
      </c>
      <c r="G165" s="59" t="e">
        <f t="shared" si="99"/>
        <v>#REF!</v>
      </c>
      <c r="H165" s="59" t="e">
        <f t="shared" si="99"/>
        <v>#REF!</v>
      </c>
      <c r="I165" s="59" t="e">
        <f t="shared" si="99"/>
        <v>#REF!</v>
      </c>
      <c r="J165" s="59" t="e">
        <f t="shared" si="99"/>
        <v>#REF!</v>
      </c>
      <c r="K165" s="59" t="e">
        <f t="shared" si="99"/>
        <v>#REF!</v>
      </c>
      <c r="L165" s="59" t="e">
        <f t="shared" si="99"/>
        <v>#REF!</v>
      </c>
      <c r="M165" s="59" t="e">
        <f t="shared" si="99"/>
        <v>#REF!</v>
      </c>
      <c r="N165" s="59" t="e">
        <f t="shared" si="99"/>
        <v>#REF!</v>
      </c>
      <c r="O165" s="59" t="e">
        <f t="shared" si="99"/>
        <v>#REF!</v>
      </c>
      <c r="P165" s="59" t="e">
        <f t="shared" si="99"/>
        <v>#REF!</v>
      </c>
      <c r="Q165" s="59" t="e">
        <f t="shared" si="99"/>
        <v>#REF!</v>
      </c>
    </row>
    <row r="166" spans="1:18" x14ac:dyDescent="0.25">
      <c r="A166">
        <v>900</v>
      </c>
      <c r="B166" s="18" t="s">
        <v>85</v>
      </c>
      <c r="C166" t="s">
        <v>279</v>
      </c>
      <c r="E166"/>
      <c r="I166" s="31">
        <f>Loan!E27</f>
        <v>0</v>
      </c>
      <c r="J166" s="31">
        <f>Loan!F27</f>
        <v>0</v>
      </c>
      <c r="K166" s="31"/>
      <c r="L166" s="31">
        <f>Loan!G27</f>
        <v>0</v>
      </c>
      <c r="M166" s="31">
        <f>Loan!H27</f>
        <v>0</v>
      </c>
      <c r="N166" s="31">
        <f>Loan!I27</f>
        <v>0</v>
      </c>
    </row>
    <row r="167" spans="1:18" x14ac:dyDescent="0.25">
      <c r="A167">
        <v>950</v>
      </c>
      <c r="B167" s="18" t="s">
        <v>86</v>
      </c>
      <c r="E167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8" x14ac:dyDescent="0.25">
      <c r="A168"/>
      <c r="B168" s="18" t="s">
        <v>216</v>
      </c>
      <c r="E168"/>
      <c r="F168" s="103" t="e">
        <f t="shared" ref="F168:Q168" si="100">F60+F66+F75+F80+F89+F108+F111+F122+F123+F124+F129+F140+F141+F142+F143+F144+F145+F146+F164+F165+F166+F167</f>
        <v>#REF!</v>
      </c>
      <c r="G168" s="103" t="e">
        <f>G60+G66+G75+G80+G89+G108+G111+G122+G123+G124+G129+G140+G141+G142+G143+G144+G145+G146+G164+G165+G166+G167</f>
        <v>#REF!</v>
      </c>
      <c r="H168" s="103" t="e">
        <f>H60+H66+H75+H80+H89+H108+H111+H122+H123+H124+H129+H140+H141+H142+H143+H144+H145+H146+H164+H165+H166+H167</f>
        <v>#REF!</v>
      </c>
      <c r="I168" s="103" t="e">
        <f>I60+I66+I75+I80+I89+I108+I111+I122+I123+I124+I129+I140+I141+I142+I143+I144+I145+I146+I164+I165+I166+I167</f>
        <v>#REF!</v>
      </c>
      <c r="J168" s="103" t="e">
        <f>J60+J66+J75+J80+J89+J108+J111+J122+J123+J124+J129+J140+J141+J142+J143+J144+J145+J146+J164+J165+J166+J167</f>
        <v>#REF!</v>
      </c>
      <c r="K168" s="103" t="e">
        <f t="shared" si="100"/>
        <v>#REF!</v>
      </c>
      <c r="L168" s="103" t="e">
        <f t="shared" si="100"/>
        <v>#REF!</v>
      </c>
      <c r="M168" s="103" t="e">
        <f t="shared" si="100"/>
        <v>#REF!</v>
      </c>
      <c r="N168" s="103" t="e">
        <f t="shared" si="100"/>
        <v>#REF!</v>
      </c>
      <c r="O168" s="103" t="e">
        <f t="shared" si="100"/>
        <v>#REF!</v>
      </c>
      <c r="P168" s="103" t="e">
        <f t="shared" si="100"/>
        <v>#REF!</v>
      </c>
      <c r="Q168" s="103" t="e">
        <f t="shared" si="100"/>
        <v>#REF!</v>
      </c>
      <c r="R168" s="154"/>
    </row>
    <row r="169" spans="1:18" s="160" customFormat="1" ht="15.75" thickBot="1" x14ac:dyDescent="0.3">
      <c r="A169" s="168"/>
      <c r="B169" s="169" t="s">
        <v>217</v>
      </c>
      <c r="E169" s="170"/>
      <c r="F169" s="171" t="e">
        <f t="shared" ref="F169:Q169" si="101">F53-F168</f>
        <v>#REF!</v>
      </c>
      <c r="G169" s="171" t="e">
        <f>G53-G168</f>
        <v>#REF!</v>
      </c>
      <c r="H169" s="171" t="e">
        <f>H53-H168</f>
        <v>#REF!</v>
      </c>
      <c r="I169" s="171" t="e">
        <f>I53-I168</f>
        <v>#REF!</v>
      </c>
      <c r="J169" s="171" t="e">
        <f>J53-J168</f>
        <v>#REF!</v>
      </c>
      <c r="K169" s="171" t="e">
        <f t="shared" si="101"/>
        <v>#REF!</v>
      </c>
      <c r="L169" s="171" t="e">
        <f t="shared" si="101"/>
        <v>#REF!</v>
      </c>
      <c r="M169" s="171" t="e">
        <f t="shared" si="101"/>
        <v>#REF!</v>
      </c>
      <c r="N169" s="171" t="e">
        <f t="shared" si="101"/>
        <v>#REF!</v>
      </c>
      <c r="O169" s="171" t="e">
        <f t="shared" si="101"/>
        <v>#REF!</v>
      </c>
      <c r="P169" s="171" t="e">
        <f t="shared" si="101"/>
        <v>#REF!</v>
      </c>
      <c r="Q169" s="171" t="e">
        <f t="shared" si="101"/>
        <v>#REF!</v>
      </c>
    </row>
    <row r="170" spans="1:18" ht="15.75" thickTop="1" x14ac:dyDescent="0.25"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1:18" x14ac:dyDescent="0.25">
      <c r="E171"/>
      <c r="F171" s="44"/>
      <c r="J171" s="172"/>
      <c r="K171" s="172"/>
      <c r="L171" s="172"/>
      <c r="M171" s="172"/>
      <c r="N171" s="172"/>
      <c r="O171" s="172"/>
      <c r="P171" s="172"/>
      <c r="Q171" s="172"/>
    </row>
    <row r="172" spans="1:18" x14ac:dyDescent="0.25">
      <c r="A172" s="71" t="s">
        <v>43</v>
      </c>
      <c r="E172"/>
      <c r="F172" s="3" t="s">
        <v>0</v>
      </c>
      <c r="G172" s="21" t="s">
        <v>1</v>
      </c>
      <c r="H172" s="22" t="s">
        <v>2</v>
      </c>
      <c r="I172" s="3" t="s">
        <v>3</v>
      </c>
      <c r="J172" s="3" t="s">
        <v>4</v>
      </c>
      <c r="K172" s="4" t="s">
        <v>5</v>
      </c>
      <c r="L172" s="70" t="s">
        <v>61</v>
      </c>
      <c r="M172" s="70" t="s">
        <v>62</v>
      </c>
      <c r="N172" s="70" t="s">
        <v>63</v>
      </c>
      <c r="O172" s="70" t="s">
        <v>64</v>
      </c>
      <c r="P172" s="70" t="s">
        <v>65</v>
      </c>
      <c r="Q172" s="70" t="s">
        <v>66</v>
      </c>
    </row>
    <row r="173" spans="1:18" x14ac:dyDescent="0.25">
      <c r="A173" s="71"/>
      <c r="D173" s="43" t="s">
        <v>47</v>
      </c>
      <c r="E173"/>
      <c r="F173" s="108" t="e">
        <f>Assumptions!#REF!</f>
        <v>#REF!</v>
      </c>
      <c r="G173" s="108" t="e">
        <f>Assumptions!#REF!</f>
        <v>#REF!</v>
      </c>
      <c r="H173" s="108" t="e">
        <f>Assumptions!#REF!</f>
        <v>#REF!</v>
      </c>
      <c r="I173" s="108" t="e">
        <f>Assumptions!#REF!</f>
        <v>#REF!</v>
      </c>
      <c r="J173" s="108" t="e">
        <f>Assumptions!#REF!</f>
        <v>#REF!</v>
      </c>
      <c r="K173" s="108" t="e">
        <f>Assumptions!#REF!</f>
        <v>#REF!</v>
      </c>
      <c r="L173" s="108" t="e">
        <f>Assumptions!#REF!</f>
        <v>#REF!</v>
      </c>
      <c r="M173" s="108" t="e">
        <f>Assumptions!#REF!</f>
        <v>#REF!</v>
      </c>
      <c r="N173" s="108" t="e">
        <f>Assumptions!#REF!</f>
        <v>#REF!</v>
      </c>
      <c r="O173" s="108" t="e">
        <f>Assumptions!#REF!</f>
        <v>#REF!</v>
      </c>
      <c r="P173" s="108" t="e">
        <f>Assumptions!#REF!</f>
        <v>#REF!</v>
      </c>
      <c r="Q173" s="108" t="e">
        <f>Assumptions!#REF!</f>
        <v>#REF!</v>
      </c>
    </row>
    <row r="174" spans="1:18" x14ac:dyDescent="0.25">
      <c r="A174" s="71"/>
      <c r="D174">
        <v>1</v>
      </c>
      <c r="E174"/>
      <c r="F174" s="108" t="e">
        <f>Assumptions!#REF!</f>
        <v>#REF!</v>
      </c>
      <c r="G174" s="108" t="e">
        <f>Assumptions!#REF!</f>
        <v>#REF!</v>
      </c>
      <c r="H174" s="108" t="e">
        <f>Assumptions!#REF!</f>
        <v>#REF!</v>
      </c>
      <c r="I174" s="108" t="e">
        <f>Assumptions!#REF!</f>
        <v>#REF!</v>
      </c>
      <c r="J174" s="108" t="e">
        <f>Assumptions!#REF!</f>
        <v>#REF!</v>
      </c>
      <c r="K174" s="108" t="e">
        <f>Assumptions!#REF!</f>
        <v>#REF!</v>
      </c>
      <c r="L174" s="108" t="e">
        <f>Assumptions!#REF!</f>
        <v>#REF!</v>
      </c>
      <c r="M174" s="108" t="e">
        <f>Assumptions!#REF!</f>
        <v>#REF!</v>
      </c>
      <c r="N174" s="108" t="e">
        <f>Assumptions!#REF!</f>
        <v>#REF!</v>
      </c>
      <c r="O174" s="108" t="e">
        <f>Assumptions!#REF!</f>
        <v>#REF!</v>
      </c>
      <c r="P174" s="108" t="e">
        <f>Assumptions!#REF!</f>
        <v>#REF!</v>
      </c>
      <c r="Q174" s="108" t="e">
        <f>Assumptions!#REF!</f>
        <v>#REF!</v>
      </c>
    </row>
    <row r="175" spans="1:18" x14ac:dyDescent="0.25">
      <c r="A175" s="71"/>
      <c r="D175">
        <v>2</v>
      </c>
      <c r="E175"/>
      <c r="F175" s="108" t="e">
        <f>Assumptions!#REF!</f>
        <v>#REF!</v>
      </c>
      <c r="G175" s="108" t="e">
        <f>Assumptions!#REF!</f>
        <v>#REF!</v>
      </c>
      <c r="H175" s="108" t="e">
        <f>Assumptions!#REF!</f>
        <v>#REF!</v>
      </c>
      <c r="I175" s="108" t="e">
        <f>Assumptions!#REF!</f>
        <v>#REF!</v>
      </c>
      <c r="J175" s="108" t="e">
        <f>Assumptions!#REF!</f>
        <v>#REF!</v>
      </c>
      <c r="K175" s="108" t="e">
        <f>Assumptions!#REF!</f>
        <v>#REF!</v>
      </c>
      <c r="L175" s="108" t="e">
        <f>Assumptions!#REF!</f>
        <v>#REF!</v>
      </c>
      <c r="M175" s="108" t="e">
        <f>Assumptions!#REF!</f>
        <v>#REF!</v>
      </c>
      <c r="N175" s="108" t="e">
        <f>Assumptions!#REF!</f>
        <v>#REF!</v>
      </c>
      <c r="O175" s="108" t="e">
        <f>Assumptions!#REF!</f>
        <v>#REF!</v>
      </c>
      <c r="P175" s="108" t="e">
        <f>Assumptions!#REF!</f>
        <v>#REF!</v>
      </c>
      <c r="Q175" s="108" t="e">
        <f>Assumptions!#REF!</f>
        <v>#REF!</v>
      </c>
    </row>
    <row r="176" spans="1:18" x14ac:dyDescent="0.25">
      <c r="A176" s="71"/>
      <c r="D176">
        <v>3</v>
      </c>
      <c r="E176"/>
      <c r="F176" s="108" t="e">
        <f>Assumptions!#REF!</f>
        <v>#REF!</v>
      </c>
      <c r="G176" s="108" t="e">
        <f>Assumptions!#REF!</f>
        <v>#REF!</v>
      </c>
      <c r="H176" s="108" t="e">
        <f>Assumptions!#REF!</f>
        <v>#REF!</v>
      </c>
      <c r="I176" s="108" t="e">
        <f>Assumptions!#REF!</f>
        <v>#REF!</v>
      </c>
      <c r="J176" s="108" t="e">
        <f>Assumptions!#REF!</f>
        <v>#REF!</v>
      </c>
      <c r="K176" s="108" t="e">
        <f>Assumptions!#REF!</f>
        <v>#REF!</v>
      </c>
      <c r="L176" s="108" t="e">
        <f>Assumptions!#REF!</f>
        <v>#REF!</v>
      </c>
      <c r="M176" s="108" t="e">
        <f>Assumptions!#REF!</f>
        <v>#REF!</v>
      </c>
      <c r="N176" s="108" t="e">
        <f>Assumptions!#REF!</f>
        <v>#REF!</v>
      </c>
      <c r="O176" s="108" t="e">
        <f>Assumptions!#REF!</f>
        <v>#REF!</v>
      </c>
      <c r="P176" s="108" t="e">
        <f>Assumptions!#REF!</f>
        <v>#REF!</v>
      </c>
      <c r="Q176" s="108" t="e">
        <f>Assumptions!#REF!</f>
        <v>#REF!</v>
      </c>
    </row>
    <row r="177" spans="1:17" x14ac:dyDescent="0.25">
      <c r="A177" s="71"/>
      <c r="D177">
        <v>4</v>
      </c>
      <c r="E177"/>
      <c r="F177" s="108" t="e">
        <f>Assumptions!#REF!</f>
        <v>#REF!</v>
      </c>
      <c r="G177" s="108" t="e">
        <f>Assumptions!#REF!</f>
        <v>#REF!</v>
      </c>
      <c r="H177" s="108" t="e">
        <f>Assumptions!#REF!</f>
        <v>#REF!</v>
      </c>
      <c r="I177" s="108" t="e">
        <f>Assumptions!#REF!</f>
        <v>#REF!</v>
      </c>
      <c r="J177" s="108" t="e">
        <f>Assumptions!#REF!</f>
        <v>#REF!</v>
      </c>
      <c r="K177" s="108" t="e">
        <f>Assumptions!#REF!</f>
        <v>#REF!</v>
      </c>
      <c r="L177" s="108" t="e">
        <f>Assumptions!#REF!</f>
        <v>#REF!</v>
      </c>
      <c r="M177" s="108" t="e">
        <f>Assumptions!#REF!</f>
        <v>#REF!</v>
      </c>
      <c r="N177" s="108" t="e">
        <f>Assumptions!#REF!</f>
        <v>#REF!</v>
      </c>
      <c r="O177" s="108" t="e">
        <f>Assumptions!#REF!</f>
        <v>#REF!</v>
      </c>
      <c r="P177" s="108" t="e">
        <f>Assumptions!#REF!</f>
        <v>#REF!</v>
      </c>
      <c r="Q177" s="108" t="e">
        <f>Assumptions!#REF!</f>
        <v>#REF!</v>
      </c>
    </row>
    <row r="178" spans="1:17" x14ac:dyDescent="0.25">
      <c r="D178">
        <v>5</v>
      </c>
      <c r="E178"/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</row>
    <row r="179" spans="1:17" x14ac:dyDescent="0.25">
      <c r="D179">
        <v>6</v>
      </c>
      <c r="E179"/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08">
        <v>0</v>
      </c>
    </row>
    <row r="180" spans="1:17" x14ac:dyDescent="0.25">
      <c r="D180">
        <v>7</v>
      </c>
      <c r="E180"/>
      <c r="F180" s="108">
        <v>0</v>
      </c>
      <c r="G180" s="108">
        <v>0</v>
      </c>
      <c r="H180" s="108">
        <v>0</v>
      </c>
      <c r="I180" s="108">
        <v>0</v>
      </c>
      <c r="J180" s="108">
        <v>0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</row>
    <row r="181" spans="1:17" x14ac:dyDescent="0.25">
      <c r="D181">
        <v>8</v>
      </c>
      <c r="E181"/>
      <c r="F181" s="108">
        <v>0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</row>
    <row r="182" spans="1:17" x14ac:dyDescent="0.25">
      <c r="D182">
        <v>9</v>
      </c>
      <c r="E182"/>
      <c r="F182" s="108">
        <v>0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</row>
    <row r="183" spans="1:17" x14ac:dyDescent="0.25">
      <c r="D183">
        <v>10</v>
      </c>
      <c r="E183"/>
      <c r="F183" s="108">
        <v>0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8">
        <v>0</v>
      </c>
    </row>
    <row r="184" spans="1:17" x14ac:dyDescent="0.25">
      <c r="D184">
        <v>11</v>
      </c>
      <c r="E184"/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  <c r="Q184" s="108">
        <v>0</v>
      </c>
    </row>
    <row r="185" spans="1:17" x14ac:dyDescent="0.25">
      <c r="D185">
        <v>12</v>
      </c>
      <c r="E185"/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</row>
    <row r="186" spans="1:17" x14ac:dyDescent="0.25">
      <c r="E186"/>
      <c r="F186" t="e">
        <f>SUM(F173:F185)</f>
        <v>#REF!</v>
      </c>
      <c r="G186" t="e">
        <f t="shared" ref="G186:Q186" si="102">SUM(G173:G185)</f>
        <v>#REF!</v>
      </c>
      <c r="H186" t="e">
        <f t="shared" si="102"/>
        <v>#REF!</v>
      </c>
      <c r="I186" t="e">
        <f t="shared" si="102"/>
        <v>#REF!</v>
      </c>
      <c r="J186" t="e">
        <f t="shared" si="102"/>
        <v>#REF!</v>
      </c>
      <c r="K186" t="e">
        <f t="shared" si="102"/>
        <v>#REF!</v>
      </c>
      <c r="L186" t="e">
        <f t="shared" si="102"/>
        <v>#REF!</v>
      </c>
      <c r="M186" t="e">
        <f t="shared" si="102"/>
        <v>#REF!</v>
      </c>
      <c r="N186" t="e">
        <f t="shared" si="102"/>
        <v>#REF!</v>
      </c>
      <c r="O186" t="e">
        <f t="shared" si="102"/>
        <v>#REF!</v>
      </c>
      <c r="P186" t="e">
        <f t="shared" si="102"/>
        <v>#REF!</v>
      </c>
      <c r="Q186" t="e">
        <f t="shared" si="102"/>
        <v>#REF!</v>
      </c>
    </row>
    <row r="187" spans="1:17" x14ac:dyDescent="0.25">
      <c r="C187" t="s">
        <v>256</v>
      </c>
      <c r="E187"/>
      <c r="F187" t="e">
        <f>(SUM(F173:F181)*0.5)/20</f>
        <v>#REF!</v>
      </c>
      <c r="G187" t="e">
        <f t="shared" ref="G187:Q187" si="103">(SUM(G173:G181)*0.5)/20</f>
        <v>#REF!</v>
      </c>
      <c r="H187" t="e">
        <f t="shared" si="103"/>
        <v>#REF!</v>
      </c>
      <c r="I187" t="e">
        <f t="shared" si="103"/>
        <v>#REF!</v>
      </c>
      <c r="J187" t="e">
        <f t="shared" si="103"/>
        <v>#REF!</v>
      </c>
      <c r="K187" t="e">
        <f t="shared" si="103"/>
        <v>#REF!</v>
      </c>
      <c r="L187" t="e">
        <f t="shared" si="103"/>
        <v>#REF!</v>
      </c>
      <c r="M187" t="e">
        <f t="shared" si="103"/>
        <v>#REF!</v>
      </c>
      <c r="N187" t="e">
        <f t="shared" si="103"/>
        <v>#REF!</v>
      </c>
      <c r="O187" t="e">
        <f t="shared" si="103"/>
        <v>#REF!</v>
      </c>
      <c r="P187" t="e">
        <f t="shared" si="103"/>
        <v>#REF!</v>
      </c>
      <c r="Q187" t="e">
        <f t="shared" si="103"/>
        <v>#REF!</v>
      </c>
    </row>
    <row r="188" spans="1:17" x14ac:dyDescent="0.25">
      <c r="C188" t="s">
        <v>93</v>
      </c>
      <c r="E188"/>
      <c r="F188">
        <f>COUNTIF(F173:F185,"&gt;1")</f>
        <v>0</v>
      </c>
      <c r="G188" s="110">
        <f>COUNTIF(G173:G185,"&gt;1")-COUNTIF(F173:F185,"&gt;1")</f>
        <v>0</v>
      </c>
      <c r="H188" s="110">
        <f>COUNTIF(H173:H185,"&gt;1")-COUNTIF(G173:G185,"&gt;1")</f>
        <v>0</v>
      </c>
      <c r="I188" s="48">
        <f>COUNTIF(I173:I185,"&gt;1")-COUNTIF(H173:H185,"&gt;1")</f>
        <v>0</v>
      </c>
      <c r="J188" s="48">
        <f>COUNTIF(J173:J185,"&gt;1")-COUNTIF(I173:I185,"&gt;1")</f>
        <v>0</v>
      </c>
      <c r="K188" s="48">
        <f>COUNTIF(K173:K185,"&gt;1")-COUNTIF(J173:J185,"&gt;1")</f>
        <v>0</v>
      </c>
      <c r="L188" s="48">
        <f t="shared" ref="L188:Q188" si="104">COUNTIF(L173:L185,"&gt;1")-COUNTIF(K173:K185,"&gt;1")</f>
        <v>0</v>
      </c>
      <c r="M188" s="48">
        <f t="shared" si="104"/>
        <v>0</v>
      </c>
      <c r="N188" s="48">
        <f t="shared" si="104"/>
        <v>0</v>
      </c>
      <c r="O188" s="48">
        <f t="shared" si="104"/>
        <v>0</v>
      </c>
      <c r="P188" s="48">
        <f t="shared" si="104"/>
        <v>0</v>
      </c>
      <c r="Q188" s="48">
        <f t="shared" si="104"/>
        <v>0</v>
      </c>
    </row>
    <row r="189" spans="1:17" x14ac:dyDescent="0.25">
      <c r="C189" t="s">
        <v>117</v>
      </c>
      <c r="E189" s="88">
        <v>0.1</v>
      </c>
      <c r="F189" t="e">
        <f t="shared" ref="F189:Q189" si="105">ROUNDUP(F$186*$E189,0)</f>
        <v>#REF!</v>
      </c>
      <c r="G189" t="e">
        <f t="shared" si="105"/>
        <v>#REF!</v>
      </c>
      <c r="H189" t="e">
        <f t="shared" si="105"/>
        <v>#REF!</v>
      </c>
      <c r="I189" t="e">
        <f t="shared" si="105"/>
        <v>#REF!</v>
      </c>
      <c r="J189" t="e">
        <f t="shared" si="105"/>
        <v>#REF!</v>
      </c>
      <c r="K189" t="e">
        <f t="shared" si="105"/>
        <v>#REF!</v>
      </c>
      <c r="L189" t="e">
        <f t="shared" si="105"/>
        <v>#REF!</v>
      </c>
      <c r="M189" t="e">
        <f t="shared" si="105"/>
        <v>#REF!</v>
      </c>
      <c r="N189" t="e">
        <f t="shared" si="105"/>
        <v>#REF!</v>
      </c>
      <c r="O189" t="e">
        <f t="shared" si="105"/>
        <v>#REF!</v>
      </c>
      <c r="P189" t="e">
        <f t="shared" si="105"/>
        <v>#REF!</v>
      </c>
      <c r="Q189" t="e">
        <f t="shared" si="105"/>
        <v>#REF!</v>
      </c>
    </row>
    <row r="190" spans="1:17" x14ac:dyDescent="0.25">
      <c r="C190" t="s">
        <v>340</v>
      </c>
      <c r="E190"/>
      <c r="F190" s="112" t="e">
        <f>ROUNDUP(SUM(F173:F177)/30,1)</f>
        <v>#REF!</v>
      </c>
      <c r="G190" s="112" t="e">
        <f>ROUNDUP(SUM(G173:G177)/25,1)</f>
        <v>#REF!</v>
      </c>
      <c r="H190" s="112" t="e">
        <f>ROUNDUP(SUM(H173:H177)/25,1)</f>
        <v>#REF!</v>
      </c>
      <c r="I190" s="112" t="e">
        <f>ROUNDUP(SUM(I173:I177)/25,1)</f>
        <v>#REF!</v>
      </c>
      <c r="J190" s="112" t="e">
        <f t="shared" ref="J190:Q190" si="106">ROUNDUP(SUM(J173:J177)/25,1)</f>
        <v>#REF!</v>
      </c>
      <c r="K190" s="112" t="e">
        <f t="shared" si="106"/>
        <v>#REF!</v>
      </c>
      <c r="L190" s="112" t="e">
        <f t="shared" si="106"/>
        <v>#REF!</v>
      </c>
      <c r="M190" s="112" t="e">
        <f t="shared" si="106"/>
        <v>#REF!</v>
      </c>
      <c r="N190" s="112" t="e">
        <f t="shared" si="106"/>
        <v>#REF!</v>
      </c>
      <c r="O190" s="112" t="e">
        <f t="shared" si="106"/>
        <v>#REF!</v>
      </c>
      <c r="P190" s="112" t="e">
        <f t="shared" si="106"/>
        <v>#REF!</v>
      </c>
      <c r="Q190" s="112" t="e">
        <f t="shared" si="106"/>
        <v>#REF!</v>
      </c>
    </row>
    <row r="191" spans="1:17" x14ac:dyDescent="0.25">
      <c r="C191" t="s">
        <v>221</v>
      </c>
      <c r="E191"/>
      <c r="F191" s="112">
        <f>ROUNDUP(SUM(F178:F181)/30,1)</f>
        <v>0</v>
      </c>
      <c r="G191" s="112">
        <f t="shared" ref="G191:Q191" si="107">ROUNDUP(SUM(G178:G181)/30,1)</f>
        <v>0</v>
      </c>
      <c r="H191" s="112">
        <f t="shared" si="107"/>
        <v>0</v>
      </c>
      <c r="I191" s="112">
        <f t="shared" si="107"/>
        <v>0</v>
      </c>
      <c r="J191" s="112">
        <f t="shared" si="107"/>
        <v>0</v>
      </c>
      <c r="K191" s="112">
        <f t="shared" si="107"/>
        <v>0</v>
      </c>
      <c r="L191" s="112">
        <f t="shared" si="107"/>
        <v>0</v>
      </c>
      <c r="M191" s="112">
        <f t="shared" si="107"/>
        <v>0</v>
      </c>
      <c r="N191" s="112">
        <f t="shared" si="107"/>
        <v>0</v>
      </c>
      <c r="O191" s="112">
        <f t="shared" si="107"/>
        <v>0</v>
      </c>
      <c r="P191" s="112">
        <f t="shared" si="107"/>
        <v>0</v>
      </c>
      <c r="Q191" s="112">
        <f t="shared" si="107"/>
        <v>0</v>
      </c>
    </row>
    <row r="192" spans="1:17" x14ac:dyDescent="0.25">
      <c r="E192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8" x14ac:dyDescent="0.25">
      <c r="A193" s="9" t="s">
        <v>6</v>
      </c>
      <c r="B193" s="1"/>
      <c r="C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8" x14ac:dyDescent="0.25">
      <c r="A194" s="7"/>
      <c r="B194" s="1"/>
      <c r="C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8" x14ac:dyDescent="0.25">
      <c r="A195" s="7" t="s">
        <v>7</v>
      </c>
      <c r="B195" s="1"/>
      <c r="C195" s="1"/>
      <c r="F195" s="23" t="e">
        <f>SUMIFS(F$206:F$330,$A$206:$A$330,1110)</f>
        <v>#REF!</v>
      </c>
      <c r="G195" s="23" t="e">
        <f t="shared" ref="G195:Q195" si="108">SUMIFS(G$206:G$330,$A$206:$A$330,1110)</f>
        <v>#REF!</v>
      </c>
      <c r="H195" s="23" t="e">
        <f t="shared" si="108"/>
        <v>#REF!</v>
      </c>
      <c r="I195" s="23" t="e">
        <f t="shared" si="108"/>
        <v>#REF!</v>
      </c>
      <c r="J195" s="23" t="e">
        <f t="shared" si="108"/>
        <v>#REF!</v>
      </c>
      <c r="K195" s="23" t="e">
        <f t="shared" si="108"/>
        <v>#REF!</v>
      </c>
      <c r="L195" s="23" t="e">
        <f t="shared" si="108"/>
        <v>#REF!</v>
      </c>
      <c r="M195" s="23" t="e">
        <f t="shared" si="108"/>
        <v>#REF!</v>
      </c>
      <c r="N195" s="23" t="e">
        <f t="shared" si="108"/>
        <v>#REF!</v>
      </c>
      <c r="O195" s="23" t="e">
        <f t="shared" si="108"/>
        <v>#REF!</v>
      </c>
      <c r="P195" s="23" t="e">
        <f t="shared" si="108"/>
        <v>#REF!</v>
      </c>
      <c r="Q195" s="23" t="e">
        <f t="shared" si="108"/>
        <v>#REF!</v>
      </c>
    </row>
    <row r="196" spans="1:18" x14ac:dyDescent="0.25">
      <c r="A196" s="7" t="s">
        <v>8</v>
      </c>
      <c r="B196" s="1"/>
      <c r="C196" s="1"/>
      <c r="F196" s="11">
        <f>COUNTIFS($A$206:$A$330,"1200",F$206:F$330,"&gt;0")</f>
        <v>0</v>
      </c>
      <c r="G196" s="11">
        <f t="shared" ref="G196:Q196" si="109">COUNTIFS($A$206:$A$330,"1200",G$206:G$330,"&gt;0")</f>
        <v>0</v>
      </c>
      <c r="H196" s="11">
        <f t="shared" si="109"/>
        <v>0</v>
      </c>
      <c r="I196" s="11">
        <f t="shared" si="109"/>
        <v>0</v>
      </c>
      <c r="J196" s="11">
        <f t="shared" si="109"/>
        <v>0</v>
      </c>
      <c r="K196" s="11">
        <f t="shared" si="109"/>
        <v>0</v>
      </c>
      <c r="L196" s="11">
        <f t="shared" si="109"/>
        <v>0</v>
      </c>
      <c r="M196" s="11">
        <f t="shared" si="109"/>
        <v>0</v>
      </c>
      <c r="N196" s="11">
        <f t="shared" si="109"/>
        <v>0</v>
      </c>
      <c r="O196" s="11">
        <f t="shared" si="109"/>
        <v>0</v>
      </c>
      <c r="P196" s="11">
        <f t="shared" si="109"/>
        <v>0</v>
      </c>
      <c r="Q196" s="11">
        <f t="shared" si="109"/>
        <v>0</v>
      </c>
    </row>
    <row r="197" spans="1:18" x14ac:dyDescent="0.25">
      <c r="A197" s="7" t="s">
        <v>9</v>
      </c>
      <c r="B197" s="1"/>
      <c r="C197" s="1"/>
      <c r="F197" s="2" t="e">
        <f>SUM(F195:F196)</f>
        <v>#REF!</v>
      </c>
      <c r="G197" s="2" t="e">
        <f>SUM(G195:G196)</f>
        <v>#REF!</v>
      </c>
      <c r="H197" s="2" t="e">
        <f>SUM(H195:H196)</f>
        <v>#REF!</v>
      </c>
      <c r="I197" s="2" t="e">
        <f>SUM(I195:I196)</f>
        <v>#REF!</v>
      </c>
      <c r="J197" s="2" t="e">
        <f>SUM(J195:J196)</f>
        <v>#REF!</v>
      </c>
      <c r="K197" s="2" t="e">
        <f t="shared" ref="K197:Q197" si="110">SUM(K195:K196)</f>
        <v>#REF!</v>
      </c>
      <c r="L197" s="2" t="e">
        <f t="shared" si="110"/>
        <v>#REF!</v>
      </c>
      <c r="M197" s="2" t="e">
        <f t="shared" si="110"/>
        <v>#REF!</v>
      </c>
      <c r="N197" s="2" t="e">
        <f t="shared" si="110"/>
        <v>#REF!</v>
      </c>
      <c r="O197" s="2" t="e">
        <f t="shared" si="110"/>
        <v>#REF!</v>
      </c>
      <c r="P197" s="2" t="e">
        <f t="shared" si="110"/>
        <v>#REF!</v>
      </c>
      <c r="Q197" s="2" t="e">
        <f t="shared" si="110"/>
        <v>#REF!</v>
      </c>
    </row>
    <row r="198" spans="1:18" x14ac:dyDescent="0.25">
      <c r="A198" s="7"/>
      <c r="B198" s="1"/>
      <c r="C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8" s="24" customFormat="1" x14ac:dyDescent="0.25">
      <c r="A199" s="25" t="s">
        <v>286</v>
      </c>
      <c r="E199" s="118"/>
      <c r="F199" s="23" t="e">
        <f>SUMIFS(F$206:F$330,$A$206:$A$330,2200)+SUMIFS(F$206:F$330,$A206:$A330,2900)</f>
        <v>#REF!</v>
      </c>
      <c r="G199" s="23" t="e">
        <f t="shared" ref="G199:Q199" si="111">SUMIFS(G$206:G$330,$A$206:$A$330,2200)+SUMIFS(G$206:G$330,$A206:$A330,2900)</f>
        <v>#REF!</v>
      </c>
      <c r="H199" s="23" t="e">
        <f t="shared" si="111"/>
        <v>#REF!</v>
      </c>
      <c r="I199" s="23" t="e">
        <f t="shared" si="111"/>
        <v>#REF!</v>
      </c>
      <c r="J199" s="23" t="e">
        <f t="shared" si="111"/>
        <v>#REF!</v>
      </c>
      <c r="K199" s="23" t="e">
        <f t="shared" si="111"/>
        <v>#REF!</v>
      </c>
      <c r="L199" s="23" t="e">
        <f t="shared" si="111"/>
        <v>#REF!</v>
      </c>
      <c r="M199" s="23" t="e">
        <f t="shared" si="111"/>
        <v>#REF!</v>
      </c>
      <c r="N199" s="23" t="e">
        <f t="shared" si="111"/>
        <v>#REF!</v>
      </c>
      <c r="O199" s="23" t="e">
        <f t="shared" si="111"/>
        <v>#REF!</v>
      </c>
      <c r="P199" s="23" t="e">
        <f t="shared" si="111"/>
        <v>#REF!</v>
      </c>
      <c r="Q199" s="23" t="e">
        <f t="shared" si="111"/>
        <v>#REF!</v>
      </c>
    </row>
    <row r="200" spans="1:18" s="24" customFormat="1" x14ac:dyDescent="0.25">
      <c r="A200" s="25" t="s">
        <v>174</v>
      </c>
      <c r="E200" s="118"/>
      <c r="F200" s="23"/>
      <c r="G200" s="23"/>
      <c r="H200" s="23"/>
      <c r="I200" s="23">
        <f>SUMIFS(I$206:I$330,$A$206:$A$330,2100)</f>
        <v>0</v>
      </c>
      <c r="J200" s="23">
        <f t="shared" ref="J200:Q200" si="112">SUMIFS(J$206:J$330,$A$206:$A$330,2100)</f>
        <v>1</v>
      </c>
      <c r="K200" s="23">
        <f t="shared" si="112"/>
        <v>1</v>
      </c>
      <c r="L200" s="23">
        <f t="shared" si="112"/>
        <v>1.5</v>
      </c>
      <c r="M200" s="23">
        <f t="shared" si="112"/>
        <v>1</v>
      </c>
      <c r="N200" s="23">
        <f t="shared" si="112"/>
        <v>2.5</v>
      </c>
      <c r="O200" s="23">
        <f t="shared" si="112"/>
        <v>2.5</v>
      </c>
      <c r="P200" s="23">
        <f t="shared" si="112"/>
        <v>2.5</v>
      </c>
      <c r="Q200" s="23">
        <f t="shared" si="112"/>
        <v>2.5</v>
      </c>
    </row>
    <row r="201" spans="1:18" s="24" customFormat="1" x14ac:dyDescent="0.25">
      <c r="A201" s="25" t="s">
        <v>10</v>
      </c>
      <c r="E201" s="118"/>
      <c r="F201" s="119"/>
      <c r="G201" s="119" t="e">
        <f>+G331-G197-G199</f>
        <v>#REF!</v>
      </c>
      <c r="H201" s="119" t="e">
        <f>+H331-H197-H199</f>
        <v>#REF!</v>
      </c>
      <c r="I201" s="119" t="e">
        <f>+I331-I197-I199-I200</f>
        <v>#REF!</v>
      </c>
      <c r="J201" s="119" t="e">
        <f t="shared" ref="J201:Q201" si="113">+J331-J197-J199-J200</f>
        <v>#REF!</v>
      </c>
      <c r="K201" s="119" t="e">
        <f t="shared" si="113"/>
        <v>#REF!</v>
      </c>
      <c r="L201" s="119" t="e">
        <f t="shared" si="113"/>
        <v>#REF!</v>
      </c>
      <c r="M201" s="119" t="e">
        <f t="shared" si="113"/>
        <v>#REF!</v>
      </c>
      <c r="N201" s="119" t="e">
        <f t="shared" si="113"/>
        <v>#REF!</v>
      </c>
      <c r="O201" s="119" t="e">
        <f t="shared" si="113"/>
        <v>#REF!</v>
      </c>
      <c r="P201" s="119" t="e">
        <f t="shared" si="113"/>
        <v>#REF!</v>
      </c>
      <c r="Q201" s="119" t="e">
        <f t="shared" si="113"/>
        <v>#REF!</v>
      </c>
    </row>
    <row r="202" spans="1:18" s="24" customFormat="1" x14ac:dyDescent="0.25">
      <c r="A202" s="120" t="s">
        <v>11</v>
      </c>
      <c r="E202" s="118"/>
      <c r="F202" s="23" t="e">
        <f>SUM(F197:F201)</f>
        <v>#REF!</v>
      </c>
      <c r="G202" s="23" t="e">
        <f t="shared" ref="G202:Q202" si="114">SUM(G197:G201)</f>
        <v>#REF!</v>
      </c>
      <c r="H202" s="23" t="e">
        <f t="shared" si="114"/>
        <v>#REF!</v>
      </c>
      <c r="I202" s="23" t="e">
        <f t="shared" si="114"/>
        <v>#REF!</v>
      </c>
      <c r="J202" s="23" t="e">
        <f t="shared" si="114"/>
        <v>#REF!</v>
      </c>
      <c r="K202" s="23" t="e">
        <f t="shared" si="114"/>
        <v>#REF!</v>
      </c>
      <c r="L202" s="23" t="e">
        <f t="shared" si="114"/>
        <v>#REF!</v>
      </c>
      <c r="M202" s="23" t="e">
        <f t="shared" si="114"/>
        <v>#REF!</v>
      </c>
      <c r="N202" s="23" t="e">
        <f t="shared" si="114"/>
        <v>#REF!</v>
      </c>
      <c r="O202" s="23" t="e">
        <f t="shared" si="114"/>
        <v>#REF!</v>
      </c>
      <c r="P202" s="23" t="e">
        <f t="shared" si="114"/>
        <v>#REF!</v>
      </c>
      <c r="Q202" s="23" t="e">
        <f t="shared" si="114"/>
        <v>#REF!</v>
      </c>
    </row>
    <row r="203" spans="1:18" x14ac:dyDescent="0.25">
      <c r="G203" s="36"/>
      <c r="H203" s="36"/>
      <c r="I203" s="146" t="e">
        <f>I202-I331</f>
        <v>#REF!</v>
      </c>
      <c r="J203" s="146" t="e">
        <f t="shared" ref="J203:Q203" si="115">J202-J331</f>
        <v>#REF!</v>
      </c>
      <c r="K203" s="146" t="e">
        <f t="shared" si="115"/>
        <v>#REF!</v>
      </c>
      <c r="L203" s="146" t="e">
        <f t="shared" si="115"/>
        <v>#REF!</v>
      </c>
      <c r="M203" s="146" t="e">
        <f t="shared" si="115"/>
        <v>#REF!</v>
      </c>
      <c r="N203" s="146" t="e">
        <f t="shared" si="115"/>
        <v>#REF!</v>
      </c>
      <c r="O203" s="146" t="e">
        <f t="shared" si="115"/>
        <v>#REF!</v>
      </c>
      <c r="P203" s="146" t="e">
        <f t="shared" si="115"/>
        <v>#REF!</v>
      </c>
      <c r="Q203" s="146" t="e">
        <f t="shared" si="115"/>
        <v>#REF!</v>
      </c>
      <c r="R203" s="36"/>
    </row>
    <row r="204" spans="1:18" x14ac:dyDescent="0.25">
      <c r="E204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8" x14ac:dyDescent="0.25">
      <c r="A205" s="71" t="s">
        <v>71</v>
      </c>
      <c r="D205" s="47"/>
      <c r="E205"/>
      <c r="F205" s="3" t="s">
        <v>0</v>
      </c>
      <c r="G205" s="21" t="s">
        <v>1</v>
      </c>
      <c r="H205" s="22" t="s">
        <v>2</v>
      </c>
      <c r="I205" s="3" t="s">
        <v>3</v>
      </c>
      <c r="J205" s="3" t="s">
        <v>4</v>
      </c>
      <c r="K205" s="4" t="s">
        <v>5</v>
      </c>
      <c r="L205" s="70" t="s">
        <v>61</v>
      </c>
      <c r="M205" s="70" t="s">
        <v>62</v>
      </c>
      <c r="N205" s="70" t="s">
        <v>63</v>
      </c>
      <c r="O205" s="70" t="s">
        <v>64</v>
      </c>
      <c r="P205" s="70" t="s">
        <v>65</v>
      </c>
      <c r="Q205" s="70" t="s">
        <v>66</v>
      </c>
    </row>
    <row r="206" spans="1:18" x14ac:dyDescent="0.25">
      <c r="A206" s="37">
        <v>1300</v>
      </c>
      <c r="B206" s="7" t="s">
        <v>222</v>
      </c>
      <c r="D206" s="89">
        <v>75000</v>
      </c>
      <c r="E206"/>
      <c r="F206" s="36" t="e">
        <f t="shared" ref="F206:Q206" si="116">IF(SUM(F$173:F$177)&gt;1,1,0)</f>
        <v>#REF!</v>
      </c>
      <c r="G206" s="36" t="e">
        <f t="shared" si="116"/>
        <v>#REF!</v>
      </c>
      <c r="H206" s="36" t="e">
        <f t="shared" si="116"/>
        <v>#REF!</v>
      </c>
      <c r="I206" s="36" t="e">
        <f t="shared" si="116"/>
        <v>#REF!</v>
      </c>
      <c r="J206" s="36" t="e">
        <f t="shared" si="116"/>
        <v>#REF!</v>
      </c>
      <c r="K206" s="36" t="e">
        <f t="shared" si="116"/>
        <v>#REF!</v>
      </c>
      <c r="L206" s="36" t="e">
        <f t="shared" si="116"/>
        <v>#REF!</v>
      </c>
      <c r="M206" s="36" t="e">
        <f t="shared" si="116"/>
        <v>#REF!</v>
      </c>
      <c r="N206" s="36" t="e">
        <f t="shared" si="116"/>
        <v>#REF!</v>
      </c>
      <c r="O206" s="36" t="e">
        <f t="shared" si="116"/>
        <v>#REF!</v>
      </c>
      <c r="P206" s="36" t="e">
        <f t="shared" si="116"/>
        <v>#REF!</v>
      </c>
      <c r="Q206" s="36" t="e">
        <f t="shared" si="116"/>
        <v>#REF!</v>
      </c>
    </row>
    <row r="207" spans="1:18" x14ac:dyDescent="0.25">
      <c r="A207" s="37">
        <v>1300</v>
      </c>
      <c r="B207" s="7" t="s">
        <v>218</v>
      </c>
      <c r="D207" s="89">
        <v>75000</v>
      </c>
      <c r="E207"/>
      <c r="F207" s="36">
        <f t="shared" ref="F207:Q207" si="117">IF(SUM(F$178:F$181)&gt;1,1,0)</f>
        <v>0</v>
      </c>
      <c r="G207" s="36">
        <f t="shared" si="117"/>
        <v>0</v>
      </c>
      <c r="H207" s="36">
        <f t="shared" si="117"/>
        <v>0</v>
      </c>
      <c r="I207" s="36">
        <f t="shared" si="117"/>
        <v>0</v>
      </c>
      <c r="J207" s="36">
        <f t="shared" si="117"/>
        <v>0</v>
      </c>
      <c r="K207" s="36">
        <f t="shared" si="117"/>
        <v>0</v>
      </c>
      <c r="L207" s="36">
        <f t="shared" si="117"/>
        <v>0</v>
      </c>
      <c r="M207" s="36">
        <f t="shared" si="117"/>
        <v>0</v>
      </c>
      <c r="N207" s="36">
        <f t="shared" si="117"/>
        <v>0</v>
      </c>
      <c r="O207" s="36">
        <f t="shared" si="117"/>
        <v>0</v>
      </c>
      <c r="P207" s="36">
        <f t="shared" si="117"/>
        <v>0</v>
      </c>
      <c r="Q207" s="36">
        <f t="shared" si="117"/>
        <v>0</v>
      </c>
    </row>
    <row r="208" spans="1:18" x14ac:dyDescent="0.25">
      <c r="A208" s="37">
        <v>1300</v>
      </c>
      <c r="B208" s="7" t="s">
        <v>219</v>
      </c>
      <c r="D208" s="89">
        <v>75000</v>
      </c>
      <c r="E208"/>
      <c r="F208" s="36">
        <f t="shared" ref="F208:Q208" si="118">IF(SUM(F$182:F$185)&gt;1,1,0)</f>
        <v>0</v>
      </c>
      <c r="G208" s="36">
        <f t="shared" si="118"/>
        <v>0</v>
      </c>
      <c r="H208" s="36">
        <f t="shared" si="118"/>
        <v>0</v>
      </c>
      <c r="I208" s="36">
        <f t="shared" si="118"/>
        <v>0</v>
      </c>
      <c r="J208" s="36">
        <f t="shared" si="118"/>
        <v>0</v>
      </c>
      <c r="K208" s="36">
        <f t="shared" si="118"/>
        <v>0</v>
      </c>
      <c r="L208" s="36">
        <f t="shared" si="118"/>
        <v>0</v>
      </c>
      <c r="M208" s="36">
        <f t="shared" si="118"/>
        <v>0</v>
      </c>
      <c r="N208" s="36">
        <f t="shared" si="118"/>
        <v>0</v>
      </c>
      <c r="O208" s="36">
        <f t="shared" si="118"/>
        <v>0</v>
      </c>
      <c r="P208" s="36">
        <f t="shared" si="118"/>
        <v>0</v>
      </c>
      <c r="Q208" s="36">
        <f t="shared" si="118"/>
        <v>0</v>
      </c>
    </row>
    <row r="209" spans="1:17" x14ac:dyDescent="0.25">
      <c r="A209" s="37">
        <v>2300</v>
      </c>
      <c r="B209" s="7" t="s">
        <v>229</v>
      </c>
      <c r="D209" s="89">
        <v>60000</v>
      </c>
      <c r="E209"/>
      <c r="F209" s="36" t="e">
        <f t="shared" ref="F209:Q209" si="119">IF(SUM(F$173:F$177)&gt;1,1,0)</f>
        <v>#REF!</v>
      </c>
      <c r="G209" s="36" t="e">
        <f t="shared" si="119"/>
        <v>#REF!</v>
      </c>
      <c r="H209" s="36" t="e">
        <f t="shared" si="119"/>
        <v>#REF!</v>
      </c>
      <c r="I209" s="36" t="e">
        <f t="shared" si="119"/>
        <v>#REF!</v>
      </c>
      <c r="J209" s="36" t="e">
        <f t="shared" si="119"/>
        <v>#REF!</v>
      </c>
      <c r="K209" s="36" t="e">
        <f t="shared" si="119"/>
        <v>#REF!</v>
      </c>
      <c r="L209" s="36" t="e">
        <f t="shared" si="119"/>
        <v>#REF!</v>
      </c>
      <c r="M209" s="36" t="e">
        <f t="shared" si="119"/>
        <v>#REF!</v>
      </c>
      <c r="N209" s="36" t="e">
        <f t="shared" si="119"/>
        <v>#REF!</v>
      </c>
      <c r="O209" s="36" t="e">
        <f t="shared" si="119"/>
        <v>#REF!</v>
      </c>
      <c r="P209" s="36" t="e">
        <f t="shared" si="119"/>
        <v>#REF!</v>
      </c>
      <c r="Q209" s="36" t="e">
        <f t="shared" si="119"/>
        <v>#REF!</v>
      </c>
    </row>
    <row r="210" spans="1:17" x14ac:dyDescent="0.25">
      <c r="A210" s="37">
        <v>2300</v>
      </c>
      <c r="B210" s="7" t="s">
        <v>230</v>
      </c>
      <c r="D210" s="89">
        <v>60000</v>
      </c>
      <c r="E210"/>
      <c r="F210" s="36">
        <f t="shared" ref="F210:Q210" si="120">IF(SUM(F$178:F$181)&gt;1,1,0)</f>
        <v>0</v>
      </c>
      <c r="G210" s="36">
        <f t="shared" si="120"/>
        <v>0</v>
      </c>
      <c r="H210" s="36">
        <f t="shared" si="120"/>
        <v>0</v>
      </c>
      <c r="I210" s="36">
        <f t="shared" si="120"/>
        <v>0</v>
      </c>
      <c r="J210" s="36">
        <f t="shared" si="120"/>
        <v>0</v>
      </c>
      <c r="K210" s="36">
        <f t="shared" si="120"/>
        <v>0</v>
      </c>
      <c r="L210" s="36">
        <f t="shared" si="120"/>
        <v>0</v>
      </c>
      <c r="M210" s="36">
        <f t="shared" si="120"/>
        <v>0</v>
      </c>
      <c r="N210" s="36">
        <f t="shared" si="120"/>
        <v>0</v>
      </c>
      <c r="O210" s="36">
        <f t="shared" si="120"/>
        <v>0</v>
      </c>
      <c r="P210" s="36">
        <f t="shared" si="120"/>
        <v>0</v>
      </c>
      <c r="Q210" s="36">
        <f t="shared" si="120"/>
        <v>0</v>
      </c>
    </row>
    <row r="211" spans="1:17" x14ac:dyDescent="0.25">
      <c r="A211" s="37">
        <v>2300</v>
      </c>
      <c r="B211" s="7" t="s">
        <v>231</v>
      </c>
      <c r="D211" s="89">
        <v>60000</v>
      </c>
      <c r="E211"/>
      <c r="F211" s="36">
        <f t="shared" ref="F211:Q211" si="121">IF(SUM(F$182:F$185)&gt;1,1,0)</f>
        <v>0</v>
      </c>
      <c r="G211" s="36">
        <f t="shared" si="121"/>
        <v>0</v>
      </c>
      <c r="H211" s="36">
        <f t="shared" si="121"/>
        <v>0</v>
      </c>
      <c r="I211" s="36">
        <f t="shared" si="121"/>
        <v>0</v>
      </c>
      <c r="J211" s="36">
        <f t="shared" si="121"/>
        <v>0</v>
      </c>
      <c r="K211" s="36">
        <f t="shared" si="121"/>
        <v>0</v>
      </c>
      <c r="L211" s="36">
        <f t="shared" si="121"/>
        <v>0</v>
      </c>
      <c r="M211" s="36">
        <f t="shared" si="121"/>
        <v>0</v>
      </c>
      <c r="N211" s="36">
        <f t="shared" si="121"/>
        <v>0</v>
      </c>
      <c r="O211" s="36">
        <f t="shared" si="121"/>
        <v>0</v>
      </c>
      <c r="P211" s="36">
        <f t="shared" si="121"/>
        <v>0</v>
      </c>
      <c r="Q211" s="36">
        <f t="shared" si="121"/>
        <v>0</v>
      </c>
    </row>
    <row r="212" spans="1:17" x14ac:dyDescent="0.25">
      <c r="A212" s="37">
        <v>2400</v>
      </c>
      <c r="B212" s="13" t="s">
        <v>232</v>
      </c>
      <c r="D212" s="89">
        <v>35000</v>
      </c>
      <c r="E212"/>
      <c r="F212" s="36" t="e">
        <f t="shared" ref="F212:Q212" si="122">IF(SUM(F$173:F$177)&gt;1,1,0)</f>
        <v>#REF!</v>
      </c>
      <c r="G212" s="36" t="e">
        <f t="shared" si="122"/>
        <v>#REF!</v>
      </c>
      <c r="H212" s="36" t="e">
        <f t="shared" si="122"/>
        <v>#REF!</v>
      </c>
      <c r="I212" s="36" t="e">
        <f t="shared" si="122"/>
        <v>#REF!</v>
      </c>
      <c r="J212" s="36" t="e">
        <f t="shared" si="122"/>
        <v>#REF!</v>
      </c>
      <c r="K212" s="36" t="e">
        <f t="shared" si="122"/>
        <v>#REF!</v>
      </c>
      <c r="L212" s="36" t="e">
        <f t="shared" si="122"/>
        <v>#REF!</v>
      </c>
      <c r="M212" s="36" t="e">
        <f t="shared" si="122"/>
        <v>#REF!</v>
      </c>
      <c r="N212" s="36" t="e">
        <f t="shared" si="122"/>
        <v>#REF!</v>
      </c>
      <c r="O212" s="36" t="e">
        <f t="shared" si="122"/>
        <v>#REF!</v>
      </c>
      <c r="P212" s="36" t="e">
        <f t="shared" si="122"/>
        <v>#REF!</v>
      </c>
      <c r="Q212" s="36" t="e">
        <f t="shared" si="122"/>
        <v>#REF!</v>
      </c>
    </row>
    <row r="213" spans="1:17" x14ac:dyDescent="0.25">
      <c r="A213" s="37">
        <v>2400</v>
      </c>
      <c r="B213" s="13" t="s">
        <v>233</v>
      </c>
      <c r="D213" s="89">
        <v>35000</v>
      </c>
      <c r="E213"/>
      <c r="F213" s="36">
        <f t="shared" ref="F213:Q213" si="123">IF(SUM(F$178:F$181)&gt;1,1,0)</f>
        <v>0</v>
      </c>
      <c r="G213" s="36">
        <f t="shared" si="123"/>
        <v>0</v>
      </c>
      <c r="H213" s="36">
        <f t="shared" si="123"/>
        <v>0</v>
      </c>
      <c r="I213" s="36">
        <f t="shared" si="123"/>
        <v>0</v>
      </c>
      <c r="J213" s="36">
        <f t="shared" si="123"/>
        <v>0</v>
      </c>
      <c r="K213" s="36">
        <f t="shared" si="123"/>
        <v>0</v>
      </c>
      <c r="L213" s="36">
        <f t="shared" si="123"/>
        <v>0</v>
      </c>
      <c r="M213" s="36">
        <f t="shared" si="123"/>
        <v>0</v>
      </c>
      <c r="N213" s="36">
        <f t="shared" si="123"/>
        <v>0</v>
      </c>
      <c r="O213" s="36">
        <f t="shared" si="123"/>
        <v>0</v>
      </c>
      <c r="P213" s="36">
        <f t="shared" si="123"/>
        <v>0</v>
      </c>
      <c r="Q213" s="36">
        <f t="shared" si="123"/>
        <v>0</v>
      </c>
    </row>
    <row r="214" spans="1:17" x14ac:dyDescent="0.25">
      <c r="A214" s="37">
        <v>2400</v>
      </c>
      <c r="B214" s="13" t="s">
        <v>234</v>
      </c>
      <c r="D214" s="89">
        <v>35000</v>
      </c>
      <c r="E214"/>
      <c r="F214" s="36">
        <f t="shared" ref="F214:Q214" si="124">IF(SUM(F$182:F$185)&gt;1,1,0)</f>
        <v>0</v>
      </c>
      <c r="G214" s="36">
        <f t="shared" si="124"/>
        <v>0</v>
      </c>
      <c r="H214" s="36">
        <f t="shared" si="124"/>
        <v>0</v>
      </c>
      <c r="I214" s="36">
        <f t="shared" si="124"/>
        <v>0</v>
      </c>
      <c r="J214" s="36">
        <f t="shared" si="124"/>
        <v>0</v>
      </c>
      <c r="K214" s="36">
        <f t="shared" si="124"/>
        <v>0</v>
      </c>
      <c r="L214" s="36">
        <f t="shared" si="124"/>
        <v>0</v>
      </c>
      <c r="M214" s="36">
        <f t="shared" si="124"/>
        <v>0</v>
      </c>
      <c r="N214" s="36">
        <f t="shared" si="124"/>
        <v>0</v>
      </c>
      <c r="O214" s="36">
        <f t="shared" si="124"/>
        <v>0</v>
      </c>
      <c r="P214" s="36">
        <f t="shared" si="124"/>
        <v>0</v>
      </c>
      <c r="Q214" s="36">
        <f t="shared" si="124"/>
        <v>0</v>
      </c>
    </row>
    <row r="215" spans="1:17" x14ac:dyDescent="0.25">
      <c r="A215" s="37">
        <v>2400</v>
      </c>
      <c r="B215" s="13" t="s">
        <v>235</v>
      </c>
      <c r="D215" s="89">
        <v>45000</v>
      </c>
      <c r="E215"/>
      <c r="F215" s="36" t="e">
        <f t="shared" ref="F215:Q215" si="125">IF(SUM(F$173:F$177)&gt;1,1,0)</f>
        <v>#REF!</v>
      </c>
      <c r="G215" s="36" t="e">
        <f t="shared" si="125"/>
        <v>#REF!</v>
      </c>
      <c r="H215" s="36" t="e">
        <f t="shared" si="125"/>
        <v>#REF!</v>
      </c>
      <c r="I215" s="36" t="e">
        <f t="shared" si="125"/>
        <v>#REF!</v>
      </c>
      <c r="J215" s="36" t="e">
        <f t="shared" si="125"/>
        <v>#REF!</v>
      </c>
      <c r="K215" s="36" t="e">
        <f t="shared" si="125"/>
        <v>#REF!</v>
      </c>
      <c r="L215" s="36" t="e">
        <f t="shared" si="125"/>
        <v>#REF!</v>
      </c>
      <c r="M215" s="36" t="e">
        <f t="shared" si="125"/>
        <v>#REF!</v>
      </c>
      <c r="N215" s="36" t="e">
        <f t="shared" si="125"/>
        <v>#REF!</v>
      </c>
      <c r="O215" s="36" t="e">
        <f t="shared" si="125"/>
        <v>#REF!</v>
      </c>
      <c r="P215" s="36" t="e">
        <f t="shared" si="125"/>
        <v>#REF!</v>
      </c>
      <c r="Q215" s="36" t="e">
        <f t="shared" si="125"/>
        <v>#REF!</v>
      </c>
    </row>
    <row r="216" spans="1:17" x14ac:dyDescent="0.25">
      <c r="A216" s="37">
        <v>2400</v>
      </c>
      <c r="B216" s="13" t="s">
        <v>223</v>
      </c>
      <c r="D216" s="89">
        <v>45000</v>
      </c>
      <c r="E216"/>
      <c r="F216" s="36">
        <f t="shared" ref="F216:Q216" si="126">IF(SUM(F$178:F$181)&gt;1,1,0)</f>
        <v>0</v>
      </c>
      <c r="G216" s="36">
        <f t="shared" si="126"/>
        <v>0</v>
      </c>
      <c r="H216" s="36">
        <f t="shared" si="126"/>
        <v>0</v>
      </c>
      <c r="I216" s="36">
        <f t="shared" si="126"/>
        <v>0</v>
      </c>
      <c r="J216" s="36">
        <f t="shared" si="126"/>
        <v>0</v>
      </c>
      <c r="K216" s="36">
        <f t="shared" si="126"/>
        <v>0</v>
      </c>
      <c r="L216" s="36">
        <f t="shared" si="126"/>
        <v>0</v>
      </c>
      <c r="M216" s="36">
        <f t="shared" si="126"/>
        <v>0</v>
      </c>
      <c r="N216" s="36">
        <f t="shared" si="126"/>
        <v>0</v>
      </c>
      <c r="O216" s="36">
        <f t="shared" si="126"/>
        <v>0</v>
      </c>
      <c r="P216" s="36">
        <f t="shared" si="126"/>
        <v>0</v>
      </c>
      <c r="Q216" s="36">
        <f t="shared" si="126"/>
        <v>0</v>
      </c>
    </row>
    <row r="217" spans="1:17" x14ac:dyDescent="0.25">
      <c r="A217" s="37">
        <v>2400</v>
      </c>
      <c r="B217" s="13" t="s">
        <v>236</v>
      </c>
      <c r="D217" s="89">
        <v>45000</v>
      </c>
      <c r="E217"/>
      <c r="F217" s="36">
        <f t="shared" ref="F217:Q217" si="127">IF(SUM(F$182:F$185)&gt;1,1,0)</f>
        <v>0</v>
      </c>
      <c r="G217" s="36">
        <f t="shared" si="127"/>
        <v>0</v>
      </c>
      <c r="H217" s="36">
        <f t="shared" si="127"/>
        <v>0</v>
      </c>
      <c r="I217" s="36">
        <f t="shared" si="127"/>
        <v>0</v>
      </c>
      <c r="J217" s="36">
        <f t="shared" si="127"/>
        <v>0</v>
      </c>
      <c r="K217" s="36">
        <f t="shared" si="127"/>
        <v>0</v>
      </c>
      <c r="L217" s="36">
        <f t="shared" si="127"/>
        <v>0</v>
      </c>
      <c r="M217" s="36">
        <f t="shared" si="127"/>
        <v>0</v>
      </c>
      <c r="N217" s="36">
        <f t="shared" si="127"/>
        <v>0</v>
      </c>
      <c r="O217" s="36">
        <f t="shared" si="127"/>
        <v>0</v>
      </c>
      <c r="P217" s="36">
        <f t="shared" si="127"/>
        <v>0</v>
      </c>
      <c r="Q217" s="36">
        <f t="shared" si="127"/>
        <v>0</v>
      </c>
    </row>
    <row r="218" spans="1:17" x14ac:dyDescent="0.25">
      <c r="A218" s="113">
        <v>2400</v>
      </c>
      <c r="B218" s="13" t="s">
        <v>237</v>
      </c>
      <c r="D218" s="89">
        <v>60000</v>
      </c>
      <c r="E218"/>
      <c r="F218" s="36" t="e">
        <f t="shared" ref="F218:Q218" si="128">IF(SUM(F$173:F$177)&gt;1,1,0)</f>
        <v>#REF!</v>
      </c>
      <c r="G218" s="36" t="e">
        <f t="shared" si="128"/>
        <v>#REF!</v>
      </c>
      <c r="H218" s="36" t="e">
        <f t="shared" si="128"/>
        <v>#REF!</v>
      </c>
      <c r="I218" s="36" t="e">
        <f t="shared" si="128"/>
        <v>#REF!</v>
      </c>
      <c r="J218" s="36" t="e">
        <f t="shared" si="128"/>
        <v>#REF!</v>
      </c>
      <c r="K218" s="36" t="e">
        <f t="shared" si="128"/>
        <v>#REF!</v>
      </c>
      <c r="L218" s="36" t="e">
        <f t="shared" si="128"/>
        <v>#REF!</v>
      </c>
      <c r="M218" s="36" t="e">
        <f t="shared" si="128"/>
        <v>#REF!</v>
      </c>
      <c r="N218" s="36" t="e">
        <f t="shared" si="128"/>
        <v>#REF!</v>
      </c>
      <c r="O218" s="36" t="e">
        <f t="shared" si="128"/>
        <v>#REF!</v>
      </c>
      <c r="P218" s="36" t="e">
        <f t="shared" si="128"/>
        <v>#REF!</v>
      </c>
      <c r="Q218" s="36" t="e">
        <f t="shared" si="128"/>
        <v>#REF!</v>
      </c>
    </row>
    <row r="219" spans="1:17" x14ac:dyDescent="0.25">
      <c r="A219" s="113">
        <v>2400</v>
      </c>
      <c r="B219" s="13" t="s">
        <v>238</v>
      </c>
      <c r="D219" s="89">
        <v>60000</v>
      </c>
      <c r="E219"/>
      <c r="F219" s="36">
        <f t="shared" ref="F219:Q219" si="129">IF(SUM(F$178:F$181)&gt;1,1,0)</f>
        <v>0</v>
      </c>
      <c r="G219" s="36">
        <f t="shared" si="129"/>
        <v>0</v>
      </c>
      <c r="H219" s="36">
        <f t="shared" si="129"/>
        <v>0</v>
      </c>
      <c r="I219" s="36">
        <f t="shared" si="129"/>
        <v>0</v>
      </c>
      <c r="J219" s="36">
        <f t="shared" si="129"/>
        <v>0</v>
      </c>
      <c r="K219" s="36">
        <f t="shared" si="129"/>
        <v>0</v>
      </c>
      <c r="L219" s="36">
        <f t="shared" si="129"/>
        <v>0</v>
      </c>
      <c r="M219" s="36">
        <f t="shared" si="129"/>
        <v>0</v>
      </c>
      <c r="N219" s="36">
        <f t="shared" si="129"/>
        <v>0</v>
      </c>
      <c r="O219" s="36">
        <f t="shared" si="129"/>
        <v>0</v>
      </c>
      <c r="P219" s="36">
        <f t="shared" si="129"/>
        <v>0</v>
      </c>
      <c r="Q219" s="36">
        <f t="shared" si="129"/>
        <v>0</v>
      </c>
    </row>
    <row r="220" spans="1:17" x14ac:dyDescent="0.25">
      <c r="A220" s="113">
        <v>2400</v>
      </c>
      <c r="B220" s="13" t="s">
        <v>239</v>
      </c>
      <c r="D220" s="89">
        <v>60000</v>
      </c>
      <c r="E220"/>
      <c r="F220" s="36">
        <f t="shared" ref="F220:Q220" si="130">IF(SUM(F$182:F$185)&gt;1,1,0)</f>
        <v>0</v>
      </c>
      <c r="G220" s="36">
        <f t="shared" si="130"/>
        <v>0</v>
      </c>
      <c r="H220" s="36">
        <f t="shared" si="130"/>
        <v>0</v>
      </c>
      <c r="I220" s="36">
        <f t="shared" si="130"/>
        <v>0</v>
      </c>
      <c r="J220" s="36">
        <f t="shared" si="130"/>
        <v>0</v>
      </c>
      <c r="K220" s="36">
        <f t="shared" si="130"/>
        <v>0</v>
      </c>
      <c r="L220" s="36">
        <f t="shared" si="130"/>
        <v>0</v>
      </c>
      <c r="M220" s="36">
        <f t="shared" si="130"/>
        <v>0</v>
      </c>
      <c r="N220" s="36">
        <f t="shared" si="130"/>
        <v>0</v>
      </c>
      <c r="O220" s="36">
        <f t="shared" si="130"/>
        <v>0</v>
      </c>
      <c r="P220" s="36">
        <f t="shared" si="130"/>
        <v>0</v>
      </c>
      <c r="Q220" s="36">
        <f t="shared" si="130"/>
        <v>0</v>
      </c>
    </row>
    <row r="221" spans="1:17" x14ac:dyDescent="0.25">
      <c r="A221" s="37">
        <v>2400</v>
      </c>
      <c r="B221" s="13" t="s">
        <v>224</v>
      </c>
      <c r="D221" s="89">
        <v>25000</v>
      </c>
      <c r="E221"/>
      <c r="F221" s="36" t="e">
        <f t="shared" ref="F221:Q221" si="131">IF(SUM(F$173:F$177)&gt;1,1,0)</f>
        <v>#REF!</v>
      </c>
      <c r="G221" s="36" t="e">
        <f t="shared" si="131"/>
        <v>#REF!</v>
      </c>
      <c r="H221" s="36" t="e">
        <f t="shared" si="131"/>
        <v>#REF!</v>
      </c>
      <c r="I221" s="36" t="e">
        <f t="shared" si="131"/>
        <v>#REF!</v>
      </c>
      <c r="J221" s="36" t="e">
        <f t="shared" si="131"/>
        <v>#REF!</v>
      </c>
      <c r="K221" s="36" t="e">
        <f t="shared" si="131"/>
        <v>#REF!</v>
      </c>
      <c r="L221" s="36" t="e">
        <f t="shared" si="131"/>
        <v>#REF!</v>
      </c>
      <c r="M221" s="36" t="e">
        <f t="shared" si="131"/>
        <v>#REF!</v>
      </c>
      <c r="N221" s="36" t="e">
        <f t="shared" si="131"/>
        <v>#REF!</v>
      </c>
      <c r="O221" s="36" t="e">
        <f t="shared" si="131"/>
        <v>#REF!</v>
      </c>
      <c r="P221" s="36" t="e">
        <f t="shared" si="131"/>
        <v>#REF!</v>
      </c>
      <c r="Q221" s="36" t="e">
        <f t="shared" si="131"/>
        <v>#REF!</v>
      </c>
    </row>
    <row r="222" spans="1:17" x14ac:dyDescent="0.25">
      <c r="A222" s="37">
        <v>2400</v>
      </c>
      <c r="B222" s="13" t="s">
        <v>225</v>
      </c>
      <c r="D222" s="89">
        <v>25000</v>
      </c>
      <c r="E222"/>
      <c r="F222" s="36">
        <f t="shared" ref="F222:Q222" si="132">IF(SUM(F$178:F$181)&gt;1,1,0)</f>
        <v>0</v>
      </c>
      <c r="G222" s="36">
        <f t="shared" si="132"/>
        <v>0</v>
      </c>
      <c r="H222" s="36">
        <f t="shared" si="132"/>
        <v>0</v>
      </c>
      <c r="I222" s="36">
        <f t="shared" si="132"/>
        <v>0</v>
      </c>
      <c r="J222" s="36">
        <f t="shared" si="132"/>
        <v>0</v>
      </c>
      <c r="K222" s="36">
        <f t="shared" si="132"/>
        <v>0</v>
      </c>
      <c r="L222" s="36">
        <f t="shared" si="132"/>
        <v>0</v>
      </c>
      <c r="M222" s="36">
        <f t="shared" si="132"/>
        <v>0</v>
      </c>
      <c r="N222" s="36">
        <f t="shared" si="132"/>
        <v>0</v>
      </c>
      <c r="O222" s="36">
        <f t="shared" si="132"/>
        <v>0</v>
      </c>
      <c r="P222" s="36">
        <f t="shared" si="132"/>
        <v>0</v>
      </c>
      <c r="Q222" s="36">
        <f t="shared" si="132"/>
        <v>0</v>
      </c>
    </row>
    <row r="223" spans="1:17" x14ac:dyDescent="0.25">
      <c r="A223" s="37">
        <v>2400</v>
      </c>
      <c r="B223" s="13" t="s">
        <v>226</v>
      </c>
      <c r="D223" s="89">
        <v>25000</v>
      </c>
      <c r="E223"/>
      <c r="F223" s="36">
        <f t="shared" ref="F223:Q223" si="133">IF(SUM(F$182:F$185)&gt;1,1,0)</f>
        <v>0</v>
      </c>
      <c r="G223" s="36">
        <f t="shared" si="133"/>
        <v>0</v>
      </c>
      <c r="H223" s="36">
        <f t="shared" si="133"/>
        <v>0</v>
      </c>
      <c r="I223" s="36">
        <f t="shared" si="133"/>
        <v>0</v>
      </c>
      <c r="J223" s="36">
        <f t="shared" si="133"/>
        <v>0</v>
      </c>
      <c r="K223" s="36">
        <f t="shared" si="133"/>
        <v>0</v>
      </c>
      <c r="L223" s="36">
        <f t="shared" si="133"/>
        <v>0</v>
      </c>
      <c r="M223" s="36">
        <f t="shared" si="133"/>
        <v>0</v>
      </c>
      <c r="N223" s="36">
        <f t="shared" si="133"/>
        <v>0</v>
      </c>
      <c r="O223" s="36">
        <f t="shared" si="133"/>
        <v>0</v>
      </c>
      <c r="P223" s="36">
        <f t="shared" si="133"/>
        <v>0</v>
      </c>
      <c r="Q223" s="36">
        <f t="shared" si="133"/>
        <v>0</v>
      </c>
    </row>
    <row r="224" spans="1:17" x14ac:dyDescent="0.25">
      <c r="A224" s="37">
        <v>2400</v>
      </c>
      <c r="B224" s="13" t="s">
        <v>171</v>
      </c>
      <c r="D224" s="89">
        <v>50000</v>
      </c>
      <c r="E224"/>
      <c r="F224" s="83">
        <v>0</v>
      </c>
      <c r="G224" s="83">
        <v>0</v>
      </c>
      <c r="H224" s="83">
        <v>0</v>
      </c>
      <c r="I224">
        <f t="shared" ref="I224:Q224" si="134">H224</f>
        <v>0</v>
      </c>
      <c r="J224">
        <f t="shared" si="134"/>
        <v>0</v>
      </c>
      <c r="K224">
        <f t="shared" si="134"/>
        <v>0</v>
      </c>
      <c r="L224">
        <f t="shared" si="134"/>
        <v>0</v>
      </c>
      <c r="M224">
        <f t="shared" si="134"/>
        <v>0</v>
      </c>
      <c r="N224">
        <f t="shared" si="134"/>
        <v>0</v>
      </c>
      <c r="O224">
        <f t="shared" si="134"/>
        <v>0</v>
      </c>
      <c r="P224">
        <f t="shared" si="134"/>
        <v>0</v>
      </c>
      <c r="Q224">
        <f t="shared" si="134"/>
        <v>0</v>
      </c>
    </row>
    <row r="225" spans="1:17" x14ac:dyDescent="0.25">
      <c r="A225" s="37">
        <v>2400</v>
      </c>
      <c r="B225" s="13" t="s">
        <v>171</v>
      </c>
      <c r="D225" s="89">
        <v>50000</v>
      </c>
      <c r="E225"/>
      <c r="F225" s="83">
        <v>0</v>
      </c>
      <c r="G225" s="83">
        <v>0</v>
      </c>
      <c r="H225" s="83">
        <v>0</v>
      </c>
      <c r="I225">
        <f>H225</f>
        <v>0</v>
      </c>
      <c r="J225" s="44">
        <v>1</v>
      </c>
      <c r="K225">
        <f t="shared" ref="K225:Q225" si="135">J225</f>
        <v>1</v>
      </c>
      <c r="L225">
        <f t="shared" si="135"/>
        <v>1</v>
      </c>
      <c r="M225">
        <f t="shared" si="135"/>
        <v>1</v>
      </c>
      <c r="N225">
        <f t="shared" si="135"/>
        <v>1</v>
      </c>
      <c r="O225">
        <f t="shared" si="135"/>
        <v>1</v>
      </c>
      <c r="P225">
        <f t="shared" si="135"/>
        <v>1</v>
      </c>
      <c r="Q225">
        <f t="shared" si="135"/>
        <v>1</v>
      </c>
    </row>
    <row r="226" spans="1:17" x14ac:dyDescent="0.25">
      <c r="A226" s="37">
        <v>1300</v>
      </c>
      <c r="B226" s="13" t="s">
        <v>243</v>
      </c>
      <c r="D226" s="89">
        <v>55000</v>
      </c>
      <c r="E226"/>
      <c r="F226" s="36">
        <f t="shared" ref="F226:Q226" si="136">IF(SUM(F$182:F$185)&gt;1,1,0)</f>
        <v>0</v>
      </c>
      <c r="G226" s="36">
        <f t="shared" si="136"/>
        <v>0</v>
      </c>
      <c r="H226" s="36">
        <f t="shared" si="136"/>
        <v>0</v>
      </c>
      <c r="I226" s="36">
        <f t="shared" si="136"/>
        <v>0</v>
      </c>
      <c r="J226" s="36">
        <f t="shared" si="136"/>
        <v>0</v>
      </c>
      <c r="K226" s="36">
        <f t="shared" si="136"/>
        <v>0</v>
      </c>
      <c r="L226" s="36">
        <f t="shared" si="136"/>
        <v>0</v>
      </c>
      <c r="M226" s="36">
        <f t="shared" si="136"/>
        <v>0</v>
      </c>
      <c r="N226" s="36">
        <f t="shared" si="136"/>
        <v>0</v>
      </c>
      <c r="O226" s="36">
        <f t="shared" si="136"/>
        <v>0</v>
      </c>
      <c r="P226" s="36">
        <f t="shared" si="136"/>
        <v>0</v>
      </c>
      <c r="Q226" s="36">
        <f t="shared" si="136"/>
        <v>0</v>
      </c>
    </row>
    <row r="227" spans="1:17" x14ac:dyDescent="0.25">
      <c r="A227" s="37">
        <v>1300</v>
      </c>
      <c r="B227" s="13" t="s">
        <v>241</v>
      </c>
      <c r="D227" s="89">
        <v>80000</v>
      </c>
      <c r="E227"/>
      <c r="F227" s="36">
        <f t="shared" ref="F227:Q227" si="137">IF(SUM(F$178:F$181)&gt;1,1,0)</f>
        <v>0</v>
      </c>
      <c r="G227" s="36">
        <f t="shared" si="137"/>
        <v>0</v>
      </c>
      <c r="H227" s="36">
        <f t="shared" si="137"/>
        <v>0</v>
      </c>
      <c r="I227" s="36">
        <f t="shared" si="137"/>
        <v>0</v>
      </c>
      <c r="J227" s="36">
        <f t="shared" si="137"/>
        <v>0</v>
      </c>
      <c r="K227" s="36">
        <f t="shared" si="137"/>
        <v>0</v>
      </c>
      <c r="L227" s="36">
        <f t="shared" si="137"/>
        <v>0</v>
      </c>
      <c r="M227" s="36">
        <f t="shared" si="137"/>
        <v>0</v>
      </c>
      <c r="N227" s="36">
        <f t="shared" si="137"/>
        <v>0</v>
      </c>
      <c r="O227" s="36">
        <f t="shared" si="137"/>
        <v>0</v>
      </c>
      <c r="P227" s="36">
        <f t="shared" si="137"/>
        <v>0</v>
      </c>
      <c r="Q227" s="36">
        <f t="shared" si="137"/>
        <v>0</v>
      </c>
    </row>
    <row r="228" spans="1:17" x14ac:dyDescent="0.25">
      <c r="A228" s="37">
        <v>1300</v>
      </c>
      <c r="B228" s="13" t="s">
        <v>240</v>
      </c>
      <c r="D228" s="89">
        <v>80000</v>
      </c>
      <c r="E228"/>
      <c r="F228" s="36">
        <f t="shared" ref="F228:Q229" si="138">IF(SUM(F$182:F$185)&gt;1,1,0)</f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6">
        <f t="shared" si="138"/>
        <v>0</v>
      </c>
      <c r="K228" s="36">
        <f t="shared" si="138"/>
        <v>0</v>
      </c>
      <c r="L228" s="36">
        <f t="shared" si="138"/>
        <v>0</v>
      </c>
      <c r="M228" s="36">
        <f t="shared" si="138"/>
        <v>0</v>
      </c>
      <c r="N228" s="36">
        <f t="shared" si="138"/>
        <v>0</v>
      </c>
      <c r="O228" s="36">
        <f t="shared" si="138"/>
        <v>0</v>
      </c>
      <c r="P228" s="36">
        <f t="shared" si="138"/>
        <v>0</v>
      </c>
      <c r="Q228" s="36">
        <f t="shared" si="138"/>
        <v>0</v>
      </c>
    </row>
    <row r="229" spans="1:17" x14ac:dyDescent="0.25">
      <c r="A229" s="37">
        <v>1300</v>
      </c>
      <c r="B229" s="13" t="s">
        <v>242</v>
      </c>
      <c r="D229" s="89">
        <v>50000</v>
      </c>
      <c r="E229"/>
      <c r="F229" s="36">
        <f t="shared" si="138"/>
        <v>0</v>
      </c>
      <c r="G229" s="36">
        <f t="shared" si="138"/>
        <v>0</v>
      </c>
      <c r="H229" s="36">
        <f t="shared" si="138"/>
        <v>0</v>
      </c>
      <c r="I229" s="36">
        <f t="shared" si="138"/>
        <v>0</v>
      </c>
      <c r="J229" s="36">
        <f t="shared" si="138"/>
        <v>0</v>
      </c>
      <c r="K229" s="36">
        <f t="shared" si="138"/>
        <v>0</v>
      </c>
      <c r="L229" s="36">
        <f t="shared" si="138"/>
        <v>0</v>
      </c>
      <c r="M229" s="36">
        <f t="shared" si="138"/>
        <v>0</v>
      </c>
      <c r="N229" s="36">
        <f t="shared" si="138"/>
        <v>0</v>
      </c>
      <c r="O229" s="36">
        <f t="shared" si="138"/>
        <v>0</v>
      </c>
      <c r="P229" s="36">
        <f t="shared" si="138"/>
        <v>0</v>
      </c>
      <c r="Q229" s="36">
        <f t="shared" si="138"/>
        <v>0</v>
      </c>
    </row>
    <row r="230" spans="1:17" x14ac:dyDescent="0.25">
      <c r="A230" s="15">
        <v>1110</v>
      </c>
      <c r="B230" s="13" t="s">
        <v>12</v>
      </c>
      <c r="D230" s="89">
        <v>50000</v>
      </c>
      <c r="E230"/>
      <c r="F230" s="36" t="e">
        <f t="shared" ref="F230:I234" si="139">IF(SUM(F$173)&gt;1,1,0)</f>
        <v>#REF!</v>
      </c>
      <c r="G230" s="36" t="e">
        <f t="shared" si="139"/>
        <v>#REF!</v>
      </c>
      <c r="H230" s="36" t="e">
        <f t="shared" si="139"/>
        <v>#REF!</v>
      </c>
      <c r="I230" s="36" t="e">
        <f t="shared" si="139"/>
        <v>#REF!</v>
      </c>
      <c r="J230" s="36" t="e">
        <f t="shared" ref="J230:M231" si="140">I230</f>
        <v>#REF!</v>
      </c>
      <c r="K230" s="36" t="e">
        <f t="shared" si="140"/>
        <v>#REF!</v>
      </c>
      <c r="L230" s="36" t="e">
        <f t="shared" si="140"/>
        <v>#REF!</v>
      </c>
      <c r="M230" s="36" t="e">
        <f t="shared" si="140"/>
        <v>#REF!</v>
      </c>
      <c r="N230" s="36" t="e">
        <f>IF(SUM(N$173)&gt;1,1,0)</f>
        <v>#REF!</v>
      </c>
      <c r="O230" s="36" t="e">
        <f>N230</f>
        <v>#REF!</v>
      </c>
      <c r="P230" s="36" t="e">
        <f>O230</f>
        <v>#REF!</v>
      </c>
      <c r="Q230" s="36" t="e">
        <f>P230</f>
        <v>#REF!</v>
      </c>
    </row>
    <row r="231" spans="1:17" x14ac:dyDescent="0.25">
      <c r="A231" s="15">
        <v>1110</v>
      </c>
      <c r="B231" s="13" t="s">
        <v>12</v>
      </c>
      <c r="D231" s="89">
        <v>50000</v>
      </c>
      <c r="E231"/>
      <c r="F231" s="36" t="e">
        <f t="shared" si="139"/>
        <v>#REF!</v>
      </c>
      <c r="G231" s="36" t="e">
        <f t="shared" si="139"/>
        <v>#REF!</v>
      </c>
      <c r="H231" s="36" t="e">
        <f t="shared" si="139"/>
        <v>#REF!</v>
      </c>
      <c r="I231" s="36" t="e">
        <f t="shared" si="139"/>
        <v>#REF!</v>
      </c>
      <c r="J231" s="36" t="e">
        <f t="shared" si="140"/>
        <v>#REF!</v>
      </c>
      <c r="K231" s="36" t="e">
        <f t="shared" si="140"/>
        <v>#REF!</v>
      </c>
      <c r="L231" s="36" t="e">
        <f t="shared" si="140"/>
        <v>#REF!</v>
      </c>
      <c r="M231" s="36" t="e">
        <f t="shared" si="140"/>
        <v>#REF!</v>
      </c>
      <c r="N231" s="36" t="e">
        <f>IF(SUM(N$173)&gt;1,1,0)</f>
        <v>#REF!</v>
      </c>
      <c r="O231" s="36" t="e">
        <f t="shared" ref="O231:P257" si="141">N231</f>
        <v>#REF!</v>
      </c>
      <c r="P231" s="36" t="e">
        <f t="shared" si="141"/>
        <v>#REF!</v>
      </c>
      <c r="Q231" s="36" t="e">
        <f t="shared" ref="Q231:Q241" si="142">P231</f>
        <v>#REF!</v>
      </c>
    </row>
    <row r="232" spans="1:17" x14ac:dyDescent="0.25">
      <c r="A232" s="15">
        <v>1110</v>
      </c>
      <c r="B232" s="13" t="s">
        <v>12</v>
      </c>
      <c r="D232" s="89">
        <v>50000</v>
      </c>
      <c r="E232"/>
      <c r="F232" s="36" t="e">
        <f t="shared" si="139"/>
        <v>#REF!</v>
      </c>
      <c r="G232" s="36" t="e">
        <f t="shared" si="139"/>
        <v>#REF!</v>
      </c>
      <c r="H232" s="36" t="e">
        <f t="shared" si="139"/>
        <v>#REF!</v>
      </c>
      <c r="I232" s="36" t="e">
        <f t="shared" si="139"/>
        <v>#REF!</v>
      </c>
      <c r="J232" s="36">
        <v>1</v>
      </c>
      <c r="K232" s="36">
        <v>1</v>
      </c>
      <c r="L232" s="36">
        <f t="shared" ref="L232:M235" si="143">K232</f>
        <v>1</v>
      </c>
      <c r="M232" s="36">
        <f t="shared" si="143"/>
        <v>1</v>
      </c>
      <c r="N232" s="36">
        <v>1</v>
      </c>
      <c r="O232" s="36">
        <v>1</v>
      </c>
      <c r="P232" s="36">
        <v>1</v>
      </c>
      <c r="Q232" s="36">
        <f t="shared" si="142"/>
        <v>1</v>
      </c>
    </row>
    <row r="233" spans="1:17" x14ac:dyDescent="0.25">
      <c r="A233" s="15">
        <v>1110</v>
      </c>
      <c r="B233" s="13" t="s">
        <v>12</v>
      </c>
      <c r="D233" s="89">
        <v>50000</v>
      </c>
      <c r="E233"/>
      <c r="F233" s="36" t="e">
        <f t="shared" si="139"/>
        <v>#REF!</v>
      </c>
      <c r="G233" s="36" t="e">
        <f t="shared" si="139"/>
        <v>#REF!</v>
      </c>
      <c r="H233" s="36" t="e">
        <f t="shared" si="139"/>
        <v>#REF!</v>
      </c>
      <c r="I233" s="36" t="e">
        <f t="shared" si="139"/>
        <v>#REF!</v>
      </c>
      <c r="J233" s="36">
        <v>0</v>
      </c>
      <c r="K233" s="36">
        <f>J233</f>
        <v>0</v>
      </c>
      <c r="L233" s="36">
        <f t="shared" si="143"/>
        <v>0</v>
      </c>
      <c r="M233" s="36">
        <f t="shared" si="143"/>
        <v>0</v>
      </c>
      <c r="N233" s="36">
        <v>1</v>
      </c>
      <c r="O233" s="36">
        <v>0</v>
      </c>
      <c r="P233" s="36">
        <f t="shared" si="141"/>
        <v>0</v>
      </c>
      <c r="Q233" s="36">
        <f t="shared" si="142"/>
        <v>0</v>
      </c>
    </row>
    <row r="234" spans="1:17" x14ac:dyDescent="0.25">
      <c r="A234" s="15">
        <v>1110</v>
      </c>
      <c r="B234" s="13" t="s">
        <v>12</v>
      </c>
      <c r="D234" s="89">
        <v>50000</v>
      </c>
      <c r="E234"/>
      <c r="F234" s="36" t="e">
        <f>IF(SUM(F$173)&gt;1,1,0)</f>
        <v>#REF!</v>
      </c>
      <c r="G234" s="36" t="e">
        <f>IF(SUM(G$173)&gt;1,1,0)</f>
        <v>#REF!</v>
      </c>
      <c r="H234" s="36" t="e">
        <f>IF(SUM(H$173)&gt;1,1,0)</f>
        <v>#REF!</v>
      </c>
      <c r="I234" s="36" t="e">
        <f t="shared" si="139"/>
        <v>#REF!</v>
      </c>
      <c r="J234" s="36">
        <v>0</v>
      </c>
      <c r="K234" s="36">
        <f>J234</f>
        <v>0</v>
      </c>
      <c r="L234" s="36">
        <f t="shared" si="143"/>
        <v>0</v>
      </c>
      <c r="M234" s="36">
        <f t="shared" si="143"/>
        <v>0</v>
      </c>
      <c r="N234" s="36">
        <v>1</v>
      </c>
      <c r="O234" s="36">
        <f t="shared" si="141"/>
        <v>1</v>
      </c>
      <c r="P234" s="36">
        <f t="shared" si="141"/>
        <v>1</v>
      </c>
      <c r="Q234" s="36">
        <f t="shared" si="142"/>
        <v>1</v>
      </c>
    </row>
    <row r="235" spans="1:17" x14ac:dyDescent="0.25">
      <c r="A235" s="15">
        <v>1110</v>
      </c>
      <c r="B235" s="14" t="s">
        <v>13</v>
      </c>
      <c r="D235" s="89">
        <v>50000</v>
      </c>
      <c r="E235"/>
      <c r="F235" s="36" t="e">
        <f t="shared" ref="F235:K236" si="144">IF(SUM(F$174)&gt;1,1,0)</f>
        <v>#REF!</v>
      </c>
      <c r="G235" s="36" t="e">
        <f t="shared" si="144"/>
        <v>#REF!</v>
      </c>
      <c r="H235" s="36" t="e">
        <f t="shared" si="144"/>
        <v>#REF!</v>
      </c>
      <c r="I235" s="36" t="e">
        <f t="shared" si="144"/>
        <v>#REF!</v>
      </c>
      <c r="J235" s="36" t="e">
        <f t="shared" si="144"/>
        <v>#REF!</v>
      </c>
      <c r="K235" s="36" t="e">
        <f t="shared" si="144"/>
        <v>#REF!</v>
      </c>
      <c r="L235" s="36" t="e">
        <f t="shared" si="143"/>
        <v>#REF!</v>
      </c>
      <c r="M235" s="36" t="e">
        <f t="shared" si="143"/>
        <v>#REF!</v>
      </c>
      <c r="N235" s="36" t="e">
        <f t="shared" ref="N235:N240" si="145">M235</f>
        <v>#REF!</v>
      </c>
      <c r="O235" s="36" t="e">
        <f t="shared" si="141"/>
        <v>#REF!</v>
      </c>
      <c r="P235" s="36" t="e">
        <f t="shared" si="141"/>
        <v>#REF!</v>
      </c>
      <c r="Q235" s="36" t="e">
        <f t="shared" si="142"/>
        <v>#REF!</v>
      </c>
    </row>
    <row r="236" spans="1:17" x14ac:dyDescent="0.25">
      <c r="A236" s="15">
        <v>1110</v>
      </c>
      <c r="B236" s="14" t="s">
        <v>13</v>
      </c>
      <c r="D236" s="89">
        <v>50000</v>
      </c>
      <c r="E236"/>
      <c r="F236" s="36" t="e">
        <f t="shared" si="144"/>
        <v>#REF!</v>
      </c>
      <c r="G236" s="36" t="e">
        <f t="shared" si="144"/>
        <v>#REF!</v>
      </c>
      <c r="H236" s="36" t="e">
        <f t="shared" si="144"/>
        <v>#REF!</v>
      </c>
      <c r="I236" s="36" t="e">
        <f t="shared" si="144"/>
        <v>#REF!</v>
      </c>
      <c r="J236" s="36" t="e">
        <f t="shared" si="144"/>
        <v>#REF!</v>
      </c>
      <c r="K236" s="36" t="e">
        <f t="shared" si="144"/>
        <v>#REF!</v>
      </c>
      <c r="L236" s="36" t="e">
        <f t="shared" ref="L236:M239" si="146">K236</f>
        <v>#REF!</v>
      </c>
      <c r="M236" s="36" t="e">
        <f t="shared" si="146"/>
        <v>#REF!</v>
      </c>
      <c r="N236" s="36" t="e">
        <f t="shared" si="145"/>
        <v>#REF!</v>
      </c>
      <c r="O236" s="36" t="e">
        <f t="shared" si="141"/>
        <v>#REF!</v>
      </c>
      <c r="P236" s="36" t="e">
        <f t="shared" si="141"/>
        <v>#REF!</v>
      </c>
      <c r="Q236" s="36" t="e">
        <f t="shared" si="142"/>
        <v>#REF!</v>
      </c>
    </row>
    <row r="237" spans="1:17" x14ac:dyDescent="0.25">
      <c r="A237" s="15">
        <v>1110</v>
      </c>
      <c r="B237" s="14" t="s">
        <v>13</v>
      </c>
      <c r="D237" s="89">
        <v>50000</v>
      </c>
      <c r="E237"/>
      <c r="F237" s="36" t="e">
        <f t="shared" ref="F237:J238" si="147">IF(SUM(F$174)&gt;1,1,0)</f>
        <v>#REF!</v>
      </c>
      <c r="G237" s="36" t="e">
        <f t="shared" si="147"/>
        <v>#REF!</v>
      </c>
      <c r="H237" s="36" t="e">
        <f t="shared" si="147"/>
        <v>#REF!</v>
      </c>
      <c r="I237" s="36" t="e">
        <f t="shared" si="147"/>
        <v>#REF!</v>
      </c>
      <c r="J237" s="36" t="e">
        <f t="shared" si="147"/>
        <v>#REF!</v>
      </c>
      <c r="K237" s="36">
        <v>1</v>
      </c>
      <c r="L237" s="36">
        <f t="shared" si="146"/>
        <v>1</v>
      </c>
      <c r="M237" s="36">
        <f t="shared" si="146"/>
        <v>1</v>
      </c>
      <c r="N237" s="36">
        <f t="shared" si="145"/>
        <v>1</v>
      </c>
      <c r="O237" s="36">
        <v>1</v>
      </c>
      <c r="P237" s="36">
        <v>0</v>
      </c>
      <c r="Q237" s="36">
        <f t="shared" si="142"/>
        <v>0</v>
      </c>
    </row>
    <row r="238" spans="1:17" x14ac:dyDescent="0.25">
      <c r="A238" s="15">
        <v>1110</v>
      </c>
      <c r="B238" s="14" t="s">
        <v>13</v>
      </c>
      <c r="D238" s="89">
        <v>50000</v>
      </c>
      <c r="E238"/>
      <c r="F238" s="36" t="e">
        <f t="shared" si="147"/>
        <v>#REF!</v>
      </c>
      <c r="G238" s="36" t="e">
        <f t="shared" si="147"/>
        <v>#REF!</v>
      </c>
      <c r="H238" s="36" t="e">
        <f t="shared" si="147"/>
        <v>#REF!</v>
      </c>
      <c r="I238" s="36" t="e">
        <f t="shared" si="147"/>
        <v>#REF!</v>
      </c>
      <c r="J238" s="36" t="e">
        <f t="shared" si="147"/>
        <v>#REF!</v>
      </c>
      <c r="K238" s="36">
        <v>0</v>
      </c>
      <c r="L238" s="36">
        <f t="shared" si="146"/>
        <v>0</v>
      </c>
      <c r="M238" s="36">
        <f t="shared" si="146"/>
        <v>0</v>
      </c>
      <c r="N238" s="36">
        <f t="shared" si="145"/>
        <v>0</v>
      </c>
      <c r="O238" s="36">
        <v>1</v>
      </c>
      <c r="P238" s="36">
        <v>0</v>
      </c>
      <c r="Q238" s="36">
        <f t="shared" si="142"/>
        <v>0</v>
      </c>
    </row>
    <row r="239" spans="1:17" x14ac:dyDescent="0.25">
      <c r="A239" s="15">
        <v>1110</v>
      </c>
      <c r="B239" s="14" t="s">
        <v>13</v>
      </c>
      <c r="D239" s="89">
        <v>50000</v>
      </c>
      <c r="E239"/>
      <c r="F239" s="36" t="e">
        <f>IF(SUM(F$174)&gt;1,1,0)</f>
        <v>#REF!</v>
      </c>
      <c r="G239" s="36" t="e">
        <f>IF(SUM(G$174)&gt;1,1,0)</f>
        <v>#REF!</v>
      </c>
      <c r="H239" s="36" t="e">
        <f>IF(SUM(H$174)&gt;1,1,0)</f>
        <v>#REF!</v>
      </c>
      <c r="I239" s="36" t="e">
        <f>IF(SUM(I$174)&gt;1,1,0)</f>
        <v>#REF!</v>
      </c>
      <c r="J239" s="36">
        <v>1</v>
      </c>
      <c r="K239" s="36">
        <v>0</v>
      </c>
      <c r="L239" s="36">
        <f t="shared" si="146"/>
        <v>0</v>
      </c>
      <c r="M239" s="36">
        <f t="shared" si="146"/>
        <v>0</v>
      </c>
      <c r="N239" s="36">
        <f t="shared" si="145"/>
        <v>0</v>
      </c>
      <c r="O239" s="36">
        <f t="shared" si="141"/>
        <v>0</v>
      </c>
      <c r="P239" s="36">
        <f t="shared" si="141"/>
        <v>0</v>
      </c>
      <c r="Q239" s="36">
        <f t="shared" si="142"/>
        <v>0</v>
      </c>
    </row>
    <row r="240" spans="1:17" x14ac:dyDescent="0.25">
      <c r="A240" s="15">
        <v>1110</v>
      </c>
      <c r="B240" s="7" t="s">
        <v>14</v>
      </c>
      <c r="D240" s="89">
        <v>50000</v>
      </c>
      <c r="E240"/>
      <c r="F240" s="36" t="e">
        <f t="shared" ref="F240:L241" si="148">IF(SUM(F$175)&gt;1,1,0)</f>
        <v>#REF!</v>
      </c>
      <c r="G240" s="36" t="e">
        <f t="shared" si="148"/>
        <v>#REF!</v>
      </c>
      <c r="H240" s="36" t="e">
        <f t="shared" si="148"/>
        <v>#REF!</v>
      </c>
      <c r="I240" s="36" t="e">
        <f t="shared" si="148"/>
        <v>#REF!</v>
      </c>
      <c r="J240" s="36" t="e">
        <f t="shared" si="148"/>
        <v>#REF!</v>
      </c>
      <c r="K240" s="36" t="e">
        <f t="shared" si="148"/>
        <v>#REF!</v>
      </c>
      <c r="L240" s="36" t="e">
        <f t="shared" si="148"/>
        <v>#REF!</v>
      </c>
      <c r="M240" s="36" t="e">
        <f>L240</f>
        <v>#REF!</v>
      </c>
      <c r="N240" s="36" t="e">
        <f t="shared" si="145"/>
        <v>#REF!</v>
      </c>
      <c r="O240" s="36" t="e">
        <f t="shared" si="141"/>
        <v>#REF!</v>
      </c>
      <c r="P240" s="36" t="e">
        <f t="shared" si="141"/>
        <v>#REF!</v>
      </c>
      <c r="Q240" s="36" t="e">
        <f t="shared" si="142"/>
        <v>#REF!</v>
      </c>
    </row>
    <row r="241" spans="1:17" x14ac:dyDescent="0.25">
      <c r="A241" s="15">
        <v>1110</v>
      </c>
      <c r="B241" s="7" t="s">
        <v>14</v>
      </c>
      <c r="D241" s="89">
        <v>50000</v>
      </c>
      <c r="E241"/>
      <c r="F241" s="36" t="e">
        <f t="shared" si="148"/>
        <v>#REF!</v>
      </c>
      <c r="G241" s="36" t="e">
        <f t="shared" si="148"/>
        <v>#REF!</v>
      </c>
      <c r="H241" s="36" t="e">
        <f t="shared" si="148"/>
        <v>#REF!</v>
      </c>
      <c r="I241" s="36" t="e">
        <f t="shared" si="148"/>
        <v>#REF!</v>
      </c>
      <c r="J241" s="36" t="e">
        <f t="shared" si="148"/>
        <v>#REF!</v>
      </c>
      <c r="K241" s="36" t="e">
        <f t="shared" si="148"/>
        <v>#REF!</v>
      </c>
      <c r="L241" s="36" t="e">
        <f t="shared" si="148"/>
        <v>#REF!</v>
      </c>
      <c r="M241" s="36" t="e">
        <f t="shared" ref="M241:N244" si="149">L241</f>
        <v>#REF!</v>
      </c>
      <c r="N241" s="36" t="e">
        <f t="shared" si="149"/>
        <v>#REF!</v>
      </c>
      <c r="O241" s="36" t="e">
        <f t="shared" si="141"/>
        <v>#REF!</v>
      </c>
      <c r="P241" s="36" t="e">
        <f t="shared" si="141"/>
        <v>#REF!</v>
      </c>
      <c r="Q241" s="36" t="e">
        <f t="shared" si="142"/>
        <v>#REF!</v>
      </c>
    </row>
    <row r="242" spans="1:17" x14ac:dyDescent="0.25">
      <c r="A242" s="15">
        <v>1110</v>
      </c>
      <c r="B242" s="7" t="s">
        <v>14</v>
      </c>
      <c r="D242" s="89">
        <v>50000</v>
      </c>
      <c r="E242"/>
      <c r="F242" s="36" t="e">
        <f t="shared" ref="F242:K243" si="150">IF(SUM(F$175)&gt;1,1,0)</f>
        <v>#REF!</v>
      </c>
      <c r="G242" s="36" t="e">
        <f t="shared" si="150"/>
        <v>#REF!</v>
      </c>
      <c r="H242" s="36" t="e">
        <f t="shared" si="150"/>
        <v>#REF!</v>
      </c>
      <c r="I242" s="36" t="e">
        <f t="shared" si="150"/>
        <v>#REF!</v>
      </c>
      <c r="J242" s="36" t="e">
        <f t="shared" si="150"/>
        <v>#REF!</v>
      </c>
      <c r="K242" s="36" t="e">
        <f t="shared" si="150"/>
        <v>#REF!</v>
      </c>
      <c r="L242" s="36">
        <v>1</v>
      </c>
      <c r="M242" s="36">
        <f t="shared" si="149"/>
        <v>1</v>
      </c>
      <c r="N242" s="36">
        <f t="shared" si="149"/>
        <v>1</v>
      </c>
      <c r="O242" s="36">
        <f t="shared" si="141"/>
        <v>1</v>
      </c>
      <c r="P242" s="36">
        <v>1</v>
      </c>
      <c r="Q242" s="36">
        <v>0</v>
      </c>
    </row>
    <row r="243" spans="1:17" x14ac:dyDescent="0.25">
      <c r="A243" s="15">
        <v>1110</v>
      </c>
      <c r="B243" s="7" t="s">
        <v>14</v>
      </c>
      <c r="D243" s="89">
        <v>50000</v>
      </c>
      <c r="E243"/>
      <c r="F243" s="36" t="e">
        <f t="shared" si="150"/>
        <v>#REF!</v>
      </c>
      <c r="G243" s="36" t="e">
        <f t="shared" si="150"/>
        <v>#REF!</v>
      </c>
      <c r="H243" s="36" t="e">
        <f t="shared" si="150"/>
        <v>#REF!</v>
      </c>
      <c r="I243" s="36" t="e">
        <f t="shared" si="150"/>
        <v>#REF!</v>
      </c>
      <c r="J243" s="36" t="e">
        <f t="shared" si="150"/>
        <v>#REF!</v>
      </c>
      <c r="K243" s="36" t="e">
        <f t="shared" si="150"/>
        <v>#REF!</v>
      </c>
      <c r="L243" s="36">
        <v>0</v>
      </c>
      <c r="M243" s="36">
        <f t="shared" si="149"/>
        <v>0</v>
      </c>
      <c r="N243" s="36">
        <f t="shared" si="149"/>
        <v>0</v>
      </c>
      <c r="O243" s="36">
        <f t="shared" si="141"/>
        <v>0</v>
      </c>
      <c r="P243" s="36">
        <v>1</v>
      </c>
      <c r="Q243" s="36">
        <v>0</v>
      </c>
    </row>
    <row r="244" spans="1:17" x14ac:dyDescent="0.25">
      <c r="A244" s="15">
        <v>1110</v>
      </c>
      <c r="B244" s="7" t="s">
        <v>14</v>
      </c>
      <c r="D244" s="89">
        <v>50000</v>
      </c>
      <c r="E244"/>
      <c r="F244" s="36" t="e">
        <f>IF(SUM(F$175)&gt;1,1,0)</f>
        <v>#REF!</v>
      </c>
      <c r="G244" s="36" t="e">
        <f>IF(SUM(G$175)&gt;1,1,0)</f>
        <v>#REF!</v>
      </c>
      <c r="H244" s="36" t="e">
        <f>IF(SUM(H$175)&gt;1,1,0)</f>
        <v>#REF!</v>
      </c>
      <c r="I244" s="36" t="e">
        <f>IF(SUM(I$175)&gt;1,1,0)</f>
        <v>#REF!</v>
      </c>
      <c r="J244" s="36" t="e">
        <f>IF(SUM(J$175)&gt;1,1,0)</f>
        <v>#REF!</v>
      </c>
      <c r="K244" s="36">
        <v>0</v>
      </c>
      <c r="L244" s="36">
        <v>0</v>
      </c>
      <c r="M244" s="36">
        <f t="shared" si="149"/>
        <v>0</v>
      </c>
      <c r="N244" s="36">
        <f t="shared" si="149"/>
        <v>0</v>
      </c>
      <c r="O244" s="36">
        <f t="shared" si="141"/>
        <v>0</v>
      </c>
      <c r="P244" s="36">
        <v>1</v>
      </c>
      <c r="Q244" s="36">
        <f>P244</f>
        <v>1</v>
      </c>
    </row>
    <row r="245" spans="1:17" x14ac:dyDescent="0.25">
      <c r="A245" s="15">
        <v>1110</v>
      </c>
      <c r="B245" s="7" t="s">
        <v>15</v>
      </c>
      <c r="D245" s="89">
        <v>50000</v>
      </c>
      <c r="E245"/>
      <c r="F245" s="36" t="e">
        <f t="shared" ref="F245:M246" si="151">IF(SUM(F$176)&gt;1,1,0)</f>
        <v>#REF!</v>
      </c>
      <c r="G245" s="36" t="e">
        <f t="shared" si="151"/>
        <v>#REF!</v>
      </c>
      <c r="H245" s="36" t="e">
        <f t="shared" si="151"/>
        <v>#REF!</v>
      </c>
      <c r="I245" s="36" t="e">
        <f t="shared" si="151"/>
        <v>#REF!</v>
      </c>
      <c r="J245" s="36" t="e">
        <f t="shared" si="151"/>
        <v>#REF!</v>
      </c>
      <c r="K245" s="36" t="e">
        <f t="shared" si="151"/>
        <v>#REF!</v>
      </c>
      <c r="L245" s="36" t="e">
        <f t="shared" si="151"/>
        <v>#REF!</v>
      </c>
      <c r="M245" s="36" t="e">
        <f t="shared" si="151"/>
        <v>#REF!</v>
      </c>
      <c r="N245" s="36" t="e">
        <f>M245</f>
        <v>#REF!</v>
      </c>
      <c r="O245" s="36" t="e">
        <f t="shared" si="141"/>
        <v>#REF!</v>
      </c>
      <c r="P245" s="36" t="e">
        <f t="shared" si="141"/>
        <v>#REF!</v>
      </c>
      <c r="Q245" s="36" t="e">
        <f>P245</f>
        <v>#REF!</v>
      </c>
    </row>
    <row r="246" spans="1:17" x14ac:dyDescent="0.25">
      <c r="A246" s="15">
        <v>1110</v>
      </c>
      <c r="B246" s="7" t="s">
        <v>15</v>
      </c>
      <c r="D246" s="89">
        <v>50000</v>
      </c>
      <c r="E246"/>
      <c r="F246" s="36" t="e">
        <f t="shared" si="151"/>
        <v>#REF!</v>
      </c>
      <c r="G246" s="36" t="e">
        <f t="shared" si="151"/>
        <v>#REF!</v>
      </c>
      <c r="H246" s="36" t="e">
        <f t="shared" si="151"/>
        <v>#REF!</v>
      </c>
      <c r="I246" s="36" t="e">
        <f t="shared" si="151"/>
        <v>#REF!</v>
      </c>
      <c r="J246" s="36" t="e">
        <f t="shared" si="151"/>
        <v>#REF!</v>
      </c>
      <c r="K246" s="36" t="e">
        <f t="shared" si="151"/>
        <v>#REF!</v>
      </c>
      <c r="L246" s="36" t="e">
        <f t="shared" si="151"/>
        <v>#REF!</v>
      </c>
      <c r="M246" s="36" t="e">
        <f t="shared" si="151"/>
        <v>#REF!</v>
      </c>
      <c r="N246" s="36" t="e">
        <f>M246</f>
        <v>#REF!</v>
      </c>
      <c r="O246" s="36" t="e">
        <f t="shared" si="141"/>
        <v>#REF!</v>
      </c>
      <c r="P246" s="36" t="e">
        <f t="shared" si="141"/>
        <v>#REF!</v>
      </c>
      <c r="Q246" s="36" t="e">
        <f>P246</f>
        <v>#REF!</v>
      </c>
    </row>
    <row r="247" spans="1:17" x14ac:dyDescent="0.25">
      <c r="A247" s="15">
        <v>1110</v>
      </c>
      <c r="B247" s="7" t="s">
        <v>15</v>
      </c>
      <c r="D247" s="89">
        <v>50000</v>
      </c>
      <c r="E247"/>
      <c r="F247" s="36" t="e">
        <f t="shared" ref="F247:L248" si="152">IF(SUM(F$176)&gt;1,1,0)</f>
        <v>#REF!</v>
      </c>
      <c r="G247" s="36" t="e">
        <f t="shared" si="152"/>
        <v>#REF!</v>
      </c>
      <c r="H247" s="36" t="e">
        <f t="shared" si="152"/>
        <v>#REF!</v>
      </c>
      <c r="I247" s="36" t="e">
        <f t="shared" si="152"/>
        <v>#REF!</v>
      </c>
      <c r="J247" s="36" t="e">
        <f t="shared" si="152"/>
        <v>#REF!</v>
      </c>
      <c r="K247" s="36" t="e">
        <f t="shared" si="152"/>
        <v>#REF!</v>
      </c>
      <c r="L247" s="36" t="e">
        <f t="shared" si="152"/>
        <v>#REF!</v>
      </c>
      <c r="M247" s="36">
        <v>0</v>
      </c>
      <c r="N247" s="36">
        <f>M247</f>
        <v>0</v>
      </c>
      <c r="O247" s="36">
        <f t="shared" si="141"/>
        <v>0</v>
      </c>
      <c r="P247" s="36">
        <f t="shared" si="141"/>
        <v>0</v>
      </c>
      <c r="Q247" s="36">
        <v>1</v>
      </c>
    </row>
    <row r="248" spans="1:17" x14ac:dyDescent="0.25">
      <c r="A248" s="15">
        <v>1110</v>
      </c>
      <c r="B248" s="7" t="s">
        <v>15</v>
      </c>
      <c r="D248" s="89">
        <v>50000</v>
      </c>
      <c r="E248"/>
      <c r="F248" s="36" t="e">
        <f t="shared" si="152"/>
        <v>#REF!</v>
      </c>
      <c r="G248" s="36" t="e">
        <f t="shared" si="152"/>
        <v>#REF!</v>
      </c>
      <c r="H248" s="36" t="e">
        <f t="shared" si="152"/>
        <v>#REF!</v>
      </c>
      <c r="I248" s="36" t="e">
        <f t="shared" si="152"/>
        <v>#REF!</v>
      </c>
      <c r="J248" s="36" t="e">
        <f t="shared" si="152"/>
        <v>#REF!</v>
      </c>
      <c r="K248" s="36" t="e">
        <f t="shared" si="152"/>
        <v>#REF!</v>
      </c>
      <c r="L248" s="36" t="e">
        <f t="shared" si="152"/>
        <v>#REF!</v>
      </c>
      <c r="M248" s="36">
        <v>0</v>
      </c>
      <c r="N248" s="36">
        <f>M248</f>
        <v>0</v>
      </c>
      <c r="O248" s="36">
        <f t="shared" si="141"/>
        <v>0</v>
      </c>
      <c r="P248" s="36">
        <f t="shared" si="141"/>
        <v>0</v>
      </c>
      <c r="Q248" s="36">
        <v>1</v>
      </c>
    </row>
    <row r="249" spans="1:17" x14ac:dyDescent="0.25">
      <c r="A249" s="15">
        <v>1110</v>
      </c>
      <c r="B249" s="7" t="s">
        <v>15</v>
      </c>
      <c r="D249" s="89">
        <v>50000</v>
      </c>
      <c r="E249"/>
      <c r="F249" s="36" t="e">
        <f t="shared" ref="F249:K249" si="153">IF(SUM(F$176)&gt;1,1,0)</f>
        <v>#REF!</v>
      </c>
      <c r="G249" s="36" t="e">
        <f t="shared" si="153"/>
        <v>#REF!</v>
      </c>
      <c r="H249" s="36" t="e">
        <f t="shared" si="153"/>
        <v>#REF!</v>
      </c>
      <c r="I249" s="36" t="e">
        <f t="shared" si="153"/>
        <v>#REF!</v>
      </c>
      <c r="J249" s="36" t="e">
        <f t="shared" si="153"/>
        <v>#REF!</v>
      </c>
      <c r="K249" s="36" t="e">
        <f t="shared" si="153"/>
        <v>#REF!</v>
      </c>
      <c r="L249" s="36">
        <v>0</v>
      </c>
      <c r="M249" s="36">
        <v>0</v>
      </c>
      <c r="N249" s="36">
        <f>M249</f>
        <v>0</v>
      </c>
      <c r="O249" s="36">
        <f t="shared" si="141"/>
        <v>0</v>
      </c>
      <c r="P249" s="36">
        <f t="shared" si="141"/>
        <v>0</v>
      </c>
      <c r="Q249" s="36">
        <f t="shared" ref="Q249:Q257" si="154">P249</f>
        <v>0</v>
      </c>
    </row>
    <row r="250" spans="1:17" x14ac:dyDescent="0.25">
      <c r="A250" s="15">
        <v>1110</v>
      </c>
      <c r="B250" s="7" t="s">
        <v>16</v>
      </c>
      <c r="D250" s="89">
        <v>50000</v>
      </c>
      <c r="E250"/>
      <c r="F250" s="36" t="e">
        <f t="shared" ref="F250:N251" si="155">IF(SUM(F$177)&gt;1,1,0)</f>
        <v>#REF!</v>
      </c>
      <c r="G250" s="36" t="e">
        <f t="shared" si="155"/>
        <v>#REF!</v>
      </c>
      <c r="H250" s="36" t="e">
        <f t="shared" si="155"/>
        <v>#REF!</v>
      </c>
      <c r="I250" s="36" t="e">
        <f t="shared" si="155"/>
        <v>#REF!</v>
      </c>
      <c r="J250" s="36" t="e">
        <f t="shared" si="155"/>
        <v>#REF!</v>
      </c>
      <c r="K250" s="36" t="e">
        <f t="shared" si="155"/>
        <v>#REF!</v>
      </c>
      <c r="L250" s="36" t="e">
        <f t="shared" si="155"/>
        <v>#REF!</v>
      </c>
      <c r="M250" s="36" t="e">
        <f t="shared" si="155"/>
        <v>#REF!</v>
      </c>
      <c r="N250" s="36" t="e">
        <f t="shared" si="155"/>
        <v>#REF!</v>
      </c>
      <c r="O250" s="36" t="e">
        <f t="shared" si="141"/>
        <v>#REF!</v>
      </c>
      <c r="P250" s="36" t="e">
        <f t="shared" si="141"/>
        <v>#REF!</v>
      </c>
      <c r="Q250" s="36" t="e">
        <f t="shared" si="154"/>
        <v>#REF!</v>
      </c>
    </row>
    <row r="251" spans="1:17" x14ac:dyDescent="0.25">
      <c r="A251" s="15">
        <v>1110</v>
      </c>
      <c r="B251" s="7" t="s">
        <v>16</v>
      </c>
      <c r="D251" s="89">
        <v>50000</v>
      </c>
      <c r="E251"/>
      <c r="F251" s="36" t="e">
        <f t="shared" si="155"/>
        <v>#REF!</v>
      </c>
      <c r="G251" s="36" t="e">
        <f t="shared" si="155"/>
        <v>#REF!</v>
      </c>
      <c r="H251" s="36" t="e">
        <f t="shared" si="155"/>
        <v>#REF!</v>
      </c>
      <c r="I251" s="36" t="e">
        <f t="shared" si="155"/>
        <v>#REF!</v>
      </c>
      <c r="J251" s="36" t="e">
        <f t="shared" si="155"/>
        <v>#REF!</v>
      </c>
      <c r="K251" s="36" t="e">
        <f t="shared" si="155"/>
        <v>#REF!</v>
      </c>
      <c r="L251" s="36" t="e">
        <f t="shared" si="155"/>
        <v>#REF!</v>
      </c>
      <c r="M251" s="36" t="e">
        <f t="shared" si="155"/>
        <v>#REF!</v>
      </c>
      <c r="N251" s="36" t="e">
        <f t="shared" si="155"/>
        <v>#REF!</v>
      </c>
      <c r="O251" s="36" t="e">
        <f t="shared" si="141"/>
        <v>#REF!</v>
      </c>
      <c r="P251" s="36" t="e">
        <f t="shared" si="141"/>
        <v>#REF!</v>
      </c>
      <c r="Q251" s="36" t="e">
        <f t="shared" si="154"/>
        <v>#REF!</v>
      </c>
    </row>
    <row r="252" spans="1:17" x14ac:dyDescent="0.25">
      <c r="A252" s="15">
        <v>1110</v>
      </c>
      <c r="B252" s="7" t="s">
        <v>16</v>
      </c>
      <c r="D252" s="89">
        <v>50000</v>
      </c>
      <c r="E252"/>
      <c r="F252" s="36" t="e">
        <f t="shared" ref="F252:M254" si="156">IF(SUM(F$177)&gt;1,1,0)</f>
        <v>#REF!</v>
      </c>
      <c r="G252" s="36" t="e">
        <f t="shared" si="156"/>
        <v>#REF!</v>
      </c>
      <c r="H252" s="36" t="e">
        <f t="shared" si="156"/>
        <v>#REF!</v>
      </c>
      <c r="I252" s="36" t="e">
        <f t="shared" si="156"/>
        <v>#REF!</v>
      </c>
      <c r="J252" s="36" t="e">
        <f t="shared" si="156"/>
        <v>#REF!</v>
      </c>
      <c r="K252" s="36" t="e">
        <f t="shared" si="156"/>
        <v>#REF!</v>
      </c>
      <c r="L252" s="36" t="e">
        <f t="shared" si="156"/>
        <v>#REF!</v>
      </c>
      <c r="M252" s="36" t="e">
        <f t="shared" si="156"/>
        <v>#REF!</v>
      </c>
      <c r="N252" s="36">
        <v>0</v>
      </c>
      <c r="O252" s="36">
        <f t="shared" si="141"/>
        <v>0</v>
      </c>
      <c r="P252" s="36">
        <f t="shared" si="141"/>
        <v>0</v>
      </c>
      <c r="Q252" s="36">
        <f t="shared" si="154"/>
        <v>0</v>
      </c>
    </row>
    <row r="253" spans="1:17" x14ac:dyDescent="0.25">
      <c r="A253" s="15">
        <v>1110</v>
      </c>
      <c r="B253" s="7" t="s">
        <v>16</v>
      </c>
      <c r="D253" s="89">
        <v>50000</v>
      </c>
      <c r="E253"/>
      <c r="F253" s="36" t="e">
        <f t="shared" si="156"/>
        <v>#REF!</v>
      </c>
      <c r="G253" s="36" t="e">
        <f t="shared" si="156"/>
        <v>#REF!</v>
      </c>
      <c r="H253" s="36" t="e">
        <f t="shared" si="156"/>
        <v>#REF!</v>
      </c>
      <c r="I253" s="36" t="e">
        <f t="shared" si="156"/>
        <v>#REF!</v>
      </c>
      <c r="J253" s="36" t="e">
        <f t="shared" si="156"/>
        <v>#REF!</v>
      </c>
      <c r="K253" s="36" t="e">
        <f t="shared" si="156"/>
        <v>#REF!</v>
      </c>
      <c r="L253" s="36" t="e">
        <f t="shared" si="156"/>
        <v>#REF!</v>
      </c>
      <c r="M253" s="36" t="e">
        <f t="shared" si="156"/>
        <v>#REF!</v>
      </c>
      <c r="N253" s="36">
        <v>0</v>
      </c>
      <c r="O253" s="36">
        <f t="shared" si="141"/>
        <v>0</v>
      </c>
      <c r="P253" s="36">
        <f t="shared" si="141"/>
        <v>0</v>
      </c>
      <c r="Q253" s="36">
        <f t="shared" si="154"/>
        <v>0</v>
      </c>
    </row>
    <row r="254" spans="1:17" x14ac:dyDescent="0.25">
      <c r="A254" s="15">
        <v>1110</v>
      </c>
      <c r="B254" s="7" t="s">
        <v>16</v>
      </c>
      <c r="D254" s="89">
        <v>50000</v>
      </c>
      <c r="E254"/>
      <c r="F254" s="36" t="e">
        <f t="shared" si="156"/>
        <v>#REF!</v>
      </c>
      <c r="G254" s="36" t="e">
        <f t="shared" si="156"/>
        <v>#REF!</v>
      </c>
      <c r="H254" s="36" t="e">
        <f t="shared" si="156"/>
        <v>#REF!</v>
      </c>
      <c r="I254" s="36" t="e">
        <f t="shared" si="156"/>
        <v>#REF!</v>
      </c>
      <c r="J254" s="36" t="e">
        <f t="shared" si="156"/>
        <v>#REF!</v>
      </c>
      <c r="K254" s="36" t="e">
        <f t="shared" si="156"/>
        <v>#REF!</v>
      </c>
      <c r="L254" s="36" t="e">
        <f t="shared" si="156"/>
        <v>#REF!</v>
      </c>
      <c r="M254" s="36">
        <v>0</v>
      </c>
      <c r="N254" s="36">
        <v>0</v>
      </c>
      <c r="O254" s="36">
        <f t="shared" si="141"/>
        <v>0</v>
      </c>
      <c r="P254" s="36">
        <f t="shared" si="141"/>
        <v>0</v>
      </c>
      <c r="Q254" s="36">
        <f t="shared" si="154"/>
        <v>0</v>
      </c>
    </row>
    <row r="255" spans="1:17" x14ac:dyDescent="0.25">
      <c r="A255" s="15">
        <v>2100</v>
      </c>
      <c r="B255" s="7" t="s">
        <v>227</v>
      </c>
      <c r="D255" s="89">
        <v>50000</v>
      </c>
      <c r="E255"/>
      <c r="F255" s="83">
        <v>0</v>
      </c>
      <c r="G255" s="83">
        <v>0</v>
      </c>
      <c r="H255" s="83">
        <v>0</v>
      </c>
      <c r="I255" s="83">
        <v>0</v>
      </c>
      <c r="J255" s="83">
        <v>1</v>
      </c>
      <c r="K255" s="83">
        <v>1</v>
      </c>
      <c r="L255" s="36">
        <f>K255</f>
        <v>1</v>
      </c>
      <c r="M255" s="36">
        <f>L255</f>
        <v>1</v>
      </c>
      <c r="N255" s="36">
        <f>M255</f>
        <v>1</v>
      </c>
      <c r="O255" s="36">
        <f t="shared" si="141"/>
        <v>1</v>
      </c>
      <c r="P255" s="36">
        <f t="shared" si="141"/>
        <v>1</v>
      </c>
      <c r="Q255" s="36">
        <f t="shared" si="154"/>
        <v>1</v>
      </c>
    </row>
    <row r="256" spans="1:17" x14ac:dyDescent="0.25">
      <c r="A256" s="15">
        <v>2100</v>
      </c>
      <c r="B256" s="7" t="s">
        <v>227</v>
      </c>
      <c r="D256" s="89">
        <v>50000</v>
      </c>
      <c r="E256"/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0.5</v>
      </c>
      <c r="M256" s="36">
        <v>0</v>
      </c>
      <c r="N256" s="83">
        <v>1</v>
      </c>
      <c r="O256" s="36">
        <f t="shared" si="141"/>
        <v>1</v>
      </c>
      <c r="P256" s="36">
        <f t="shared" si="141"/>
        <v>1</v>
      </c>
      <c r="Q256" s="36">
        <f t="shared" si="154"/>
        <v>1</v>
      </c>
    </row>
    <row r="257" spans="1:17" x14ac:dyDescent="0.25">
      <c r="A257" s="15">
        <v>2100</v>
      </c>
      <c r="B257" s="7" t="s">
        <v>227</v>
      </c>
      <c r="D257" s="89">
        <v>50000</v>
      </c>
      <c r="E257"/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36">
        <v>0</v>
      </c>
      <c r="N257" s="83">
        <v>0.5</v>
      </c>
      <c r="O257" s="36">
        <f t="shared" si="141"/>
        <v>0.5</v>
      </c>
      <c r="P257" s="36">
        <f t="shared" si="141"/>
        <v>0.5</v>
      </c>
      <c r="Q257" s="36">
        <f t="shared" si="154"/>
        <v>0.5</v>
      </c>
    </row>
    <row r="258" spans="1:17" x14ac:dyDescent="0.25">
      <c r="A258" s="37">
        <v>1110</v>
      </c>
      <c r="B258" s="13" t="s">
        <v>67</v>
      </c>
      <c r="D258" s="89">
        <v>50000</v>
      </c>
      <c r="E258"/>
      <c r="F258" s="83">
        <v>0</v>
      </c>
      <c r="G258" s="83">
        <v>0</v>
      </c>
      <c r="H258" s="83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 s="36">
        <v>0</v>
      </c>
      <c r="Q258" s="36">
        <v>0</v>
      </c>
    </row>
    <row r="259" spans="1:17" x14ac:dyDescent="0.25">
      <c r="A259" s="37">
        <v>1110</v>
      </c>
      <c r="B259" s="13" t="s">
        <v>67</v>
      </c>
      <c r="D259" s="89">
        <v>50000</v>
      </c>
      <c r="E259"/>
      <c r="F259" s="83">
        <v>0</v>
      </c>
      <c r="G259" s="83">
        <v>0</v>
      </c>
      <c r="H259" s="83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 s="36">
        <v>0</v>
      </c>
      <c r="Q259" s="36">
        <v>0</v>
      </c>
    </row>
    <row r="260" spans="1:17" x14ac:dyDescent="0.25">
      <c r="A260" s="37">
        <v>1110</v>
      </c>
      <c r="B260" s="13" t="s">
        <v>67</v>
      </c>
      <c r="D260" s="89">
        <v>50000</v>
      </c>
      <c r="E260"/>
      <c r="F260" s="83">
        <v>0</v>
      </c>
      <c r="G260" s="83">
        <v>0</v>
      </c>
      <c r="H260" s="83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 s="36">
        <v>0</v>
      </c>
      <c r="Q260" s="36">
        <v>0</v>
      </c>
    </row>
    <row r="261" spans="1:17" x14ac:dyDescent="0.25">
      <c r="A261" s="37">
        <v>1110</v>
      </c>
      <c r="B261" s="13" t="s">
        <v>67</v>
      </c>
      <c r="D261" s="89">
        <v>50000</v>
      </c>
      <c r="E261"/>
      <c r="F261" s="83">
        <v>0</v>
      </c>
      <c r="G261" s="83">
        <v>0</v>
      </c>
      <c r="H261" s="83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 s="36">
        <v>0</v>
      </c>
      <c r="Q261" s="36">
        <v>0</v>
      </c>
    </row>
    <row r="262" spans="1:17" x14ac:dyDescent="0.25">
      <c r="A262" s="37">
        <v>1110</v>
      </c>
      <c r="B262" s="13" t="s">
        <v>67</v>
      </c>
      <c r="D262" s="89">
        <v>50000</v>
      </c>
      <c r="E262"/>
      <c r="F262" s="83">
        <v>0</v>
      </c>
      <c r="G262" s="83">
        <v>0</v>
      </c>
      <c r="H262" s="83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 s="36">
        <v>0</v>
      </c>
      <c r="Q262" s="36">
        <v>0</v>
      </c>
    </row>
    <row r="263" spans="1:17" x14ac:dyDescent="0.25">
      <c r="A263" s="37">
        <v>1110</v>
      </c>
      <c r="B263" s="14" t="s">
        <v>68</v>
      </c>
      <c r="D263" s="89">
        <v>50000</v>
      </c>
      <c r="E263"/>
      <c r="F263" s="83">
        <v>0</v>
      </c>
      <c r="G263" s="83">
        <v>0</v>
      </c>
      <c r="H263" s="8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 s="36">
        <v>0</v>
      </c>
      <c r="Q263" s="36">
        <v>0</v>
      </c>
    </row>
    <row r="264" spans="1:17" x14ac:dyDescent="0.25">
      <c r="A264" s="37">
        <v>1110</v>
      </c>
      <c r="B264" s="14" t="s">
        <v>68</v>
      </c>
      <c r="D264" s="89">
        <v>50000</v>
      </c>
      <c r="E264"/>
      <c r="F264" s="83">
        <v>0</v>
      </c>
      <c r="G264" s="83">
        <v>0</v>
      </c>
      <c r="H264" s="83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 s="36">
        <v>0</v>
      </c>
      <c r="Q264" s="36">
        <v>0</v>
      </c>
    </row>
    <row r="265" spans="1:17" x14ac:dyDescent="0.25">
      <c r="A265" s="37">
        <v>1110</v>
      </c>
      <c r="B265" s="14" t="s">
        <v>68</v>
      </c>
      <c r="D265" s="89">
        <v>50000</v>
      </c>
      <c r="E265"/>
      <c r="F265" s="83">
        <v>0</v>
      </c>
      <c r="G265" s="83">
        <v>0</v>
      </c>
      <c r="H265" s="83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 s="36">
        <v>0</v>
      </c>
      <c r="Q265" s="36">
        <v>0</v>
      </c>
    </row>
    <row r="266" spans="1:17" x14ac:dyDescent="0.25">
      <c r="A266" s="37">
        <v>1110</v>
      </c>
      <c r="B266" s="14" t="s">
        <v>68</v>
      </c>
      <c r="D266" s="89">
        <v>50000</v>
      </c>
      <c r="E266"/>
      <c r="F266" s="83">
        <v>0</v>
      </c>
      <c r="G266" s="83">
        <v>0</v>
      </c>
      <c r="H266" s="83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 s="36">
        <v>0</v>
      </c>
      <c r="Q266" s="36">
        <v>0</v>
      </c>
    </row>
    <row r="267" spans="1:17" x14ac:dyDescent="0.25">
      <c r="A267" s="37">
        <v>1110</v>
      </c>
      <c r="B267" s="7" t="s">
        <v>69</v>
      </c>
      <c r="D267" s="89">
        <v>50000</v>
      </c>
      <c r="E267"/>
      <c r="F267" s="83">
        <v>0</v>
      </c>
      <c r="G267" s="83">
        <v>0</v>
      </c>
      <c r="H267" s="83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 s="36">
        <v>0</v>
      </c>
      <c r="Q267" s="36">
        <v>0</v>
      </c>
    </row>
    <row r="268" spans="1:17" x14ac:dyDescent="0.25">
      <c r="A268" s="37">
        <v>1110</v>
      </c>
      <c r="B268" s="7" t="s">
        <v>69</v>
      </c>
      <c r="D268" s="89">
        <v>50000</v>
      </c>
      <c r="E268"/>
      <c r="F268" s="83">
        <v>0</v>
      </c>
      <c r="G268" s="83">
        <v>0</v>
      </c>
      <c r="H268" s="83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 s="36">
        <v>0</v>
      </c>
      <c r="Q268" s="36">
        <v>0</v>
      </c>
    </row>
    <row r="269" spans="1:17" x14ac:dyDescent="0.25">
      <c r="A269" s="37">
        <v>1110</v>
      </c>
      <c r="B269" s="7" t="s">
        <v>69</v>
      </c>
      <c r="D269" s="89">
        <v>50000</v>
      </c>
      <c r="E269"/>
      <c r="F269" s="83">
        <v>0</v>
      </c>
      <c r="G269" s="83">
        <v>0</v>
      </c>
      <c r="H269" s="83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 s="36">
        <v>0</v>
      </c>
      <c r="Q269" s="36">
        <v>0</v>
      </c>
    </row>
    <row r="270" spans="1:17" x14ac:dyDescent="0.25">
      <c r="A270" s="37">
        <v>1110</v>
      </c>
      <c r="B270" s="7" t="s">
        <v>69</v>
      </c>
      <c r="D270" s="89">
        <v>50000</v>
      </c>
      <c r="E270"/>
      <c r="F270" s="83">
        <v>0</v>
      </c>
      <c r="G270" s="83">
        <v>0</v>
      </c>
      <c r="H270" s="83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 s="36">
        <v>0</v>
      </c>
      <c r="Q270" s="36">
        <v>0</v>
      </c>
    </row>
    <row r="271" spans="1:17" x14ac:dyDescent="0.25">
      <c r="A271" s="37">
        <v>1110</v>
      </c>
      <c r="B271" s="7" t="s">
        <v>69</v>
      </c>
      <c r="D271" s="89">
        <v>50000</v>
      </c>
      <c r="E271"/>
      <c r="F271" s="83">
        <v>0</v>
      </c>
      <c r="G271" s="83">
        <v>0</v>
      </c>
      <c r="H271" s="83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 s="36">
        <v>0</v>
      </c>
      <c r="Q271" s="36">
        <v>0</v>
      </c>
    </row>
    <row r="272" spans="1:17" x14ac:dyDescent="0.25">
      <c r="A272" s="37">
        <v>1110</v>
      </c>
      <c r="B272" s="7" t="s">
        <v>70</v>
      </c>
      <c r="D272" s="89">
        <v>50000</v>
      </c>
      <c r="E272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  <c r="Q272" s="83">
        <v>0</v>
      </c>
    </row>
    <row r="273" spans="1:17" x14ac:dyDescent="0.25">
      <c r="A273" s="37">
        <v>1110</v>
      </c>
      <c r="B273" s="7" t="s">
        <v>70</v>
      </c>
      <c r="D273" s="89">
        <v>50000</v>
      </c>
      <c r="E273"/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  <c r="Q273" s="83">
        <v>0</v>
      </c>
    </row>
    <row r="274" spans="1:17" x14ac:dyDescent="0.25">
      <c r="A274" s="37">
        <v>1110</v>
      </c>
      <c r="B274" s="7" t="s">
        <v>70</v>
      </c>
      <c r="D274" s="89">
        <v>50000</v>
      </c>
      <c r="E274"/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  <c r="Q274" s="83">
        <v>0</v>
      </c>
    </row>
    <row r="275" spans="1:17" x14ac:dyDescent="0.25">
      <c r="A275" s="37">
        <v>1110</v>
      </c>
      <c r="B275" s="7" t="s">
        <v>70</v>
      </c>
      <c r="D275" s="89">
        <v>50000</v>
      </c>
      <c r="E275"/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  <c r="Q275" s="83">
        <v>0</v>
      </c>
    </row>
    <row r="276" spans="1:17" x14ac:dyDescent="0.25">
      <c r="A276" s="37">
        <v>1110</v>
      </c>
      <c r="B276" s="7" t="s">
        <v>70</v>
      </c>
      <c r="D276" s="89">
        <v>50000</v>
      </c>
      <c r="E276"/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  <c r="Q276" s="83">
        <v>0</v>
      </c>
    </row>
    <row r="277" spans="1:17" x14ac:dyDescent="0.25">
      <c r="A277" s="113">
        <v>2100</v>
      </c>
      <c r="B277" s="7" t="s">
        <v>228</v>
      </c>
      <c r="D277" s="89">
        <v>50000</v>
      </c>
      <c r="E277"/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  <c r="Q277" s="83">
        <v>0</v>
      </c>
    </row>
    <row r="278" spans="1:17" x14ac:dyDescent="0.25">
      <c r="A278" s="113">
        <v>2100</v>
      </c>
      <c r="B278" s="7" t="s">
        <v>228</v>
      </c>
      <c r="D278" s="89">
        <v>50000</v>
      </c>
      <c r="E278"/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  <c r="Q278" s="83">
        <v>0</v>
      </c>
    </row>
    <row r="279" spans="1:17" x14ac:dyDescent="0.25">
      <c r="A279" s="37">
        <v>2200</v>
      </c>
      <c r="B279" s="7" t="s">
        <v>27</v>
      </c>
      <c r="D279" s="89">
        <f>6.5*182*10</f>
        <v>11830</v>
      </c>
      <c r="E279"/>
      <c r="F279" s="83">
        <v>0</v>
      </c>
      <c r="G279" s="83">
        <v>0</v>
      </c>
      <c r="H279" s="83">
        <v>0</v>
      </c>
      <c r="I279">
        <v>1</v>
      </c>
      <c r="J279">
        <f t="shared" ref="J279:Q279" si="157">I279</f>
        <v>1</v>
      </c>
      <c r="K279">
        <f t="shared" si="157"/>
        <v>1</v>
      </c>
      <c r="L279">
        <f t="shared" si="157"/>
        <v>1</v>
      </c>
      <c r="M279">
        <f t="shared" si="157"/>
        <v>1</v>
      </c>
      <c r="N279">
        <f t="shared" si="157"/>
        <v>1</v>
      </c>
      <c r="O279">
        <f t="shared" si="157"/>
        <v>1</v>
      </c>
      <c r="P279" s="36">
        <f t="shared" si="157"/>
        <v>1</v>
      </c>
      <c r="Q279" s="36">
        <f t="shared" si="157"/>
        <v>1</v>
      </c>
    </row>
    <row r="280" spans="1:17" x14ac:dyDescent="0.25">
      <c r="A280" s="37">
        <v>2200</v>
      </c>
      <c r="B280" s="7" t="s">
        <v>27</v>
      </c>
      <c r="D280" s="89">
        <f t="shared" ref="D280:D290" si="158">6.5*182*10</f>
        <v>11830</v>
      </c>
      <c r="E280"/>
      <c r="F280" s="83">
        <v>0</v>
      </c>
      <c r="G280" s="83">
        <v>0</v>
      </c>
      <c r="H280" s="83">
        <v>0</v>
      </c>
      <c r="I280">
        <f>H280</f>
        <v>0</v>
      </c>
      <c r="J280">
        <v>0.5</v>
      </c>
      <c r="K280">
        <v>1</v>
      </c>
      <c r="L280">
        <f t="shared" ref="L280:Q280" si="159">K280</f>
        <v>1</v>
      </c>
      <c r="M280">
        <f t="shared" si="159"/>
        <v>1</v>
      </c>
      <c r="N280">
        <f t="shared" si="159"/>
        <v>1</v>
      </c>
      <c r="O280">
        <f t="shared" si="159"/>
        <v>1</v>
      </c>
      <c r="P280" s="36">
        <f t="shared" si="159"/>
        <v>1</v>
      </c>
      <c r="Q280" s="36">
        <f t="shared" si="159"/>
        <v>1</v>
      </c>
    </row>
    <row r="281" spans="1:17" x14ac:dyDescent="0.25">
      <c r="A281" s="37">
        <v>2200</v>
      </c>
      <c r="B281" s="7" t="s">
        <v>27</v>
      </c>
      <c r="D281" s="89">
        <f t="shared" si="158"/>
        <v>11830</v>
      </c>
      <c r="E281"/>
      <c r="F281" s="83">
        <v>0</v>
      </c>
      <c r="G281" s="83">
        <v>0</v>
      </c>
      <c r="H281" s="83">
        <v>0</v>
      </c>
      <c r="I281">
        <f>H281</f>
        <v>0</v>
      </c>
      <c r="J281" s="44">
        <v>0</v>
      </c>
      <c r="K281">
        <v>0</v>
      </c>
      <c r="L281">
        <v>0.5</v>
      </c>
      <c r="M281">
        <v>1</v>
      </c>
      <c r="N281">
        <f t="shared" ref="N281:Q282" si="160">M281</f>
        <v>1</v>
      </c>
      <c r="O281">
        <f t="shared" si="160"/>
        <v>1</v>
      </c>
      <c r="P281" s="36">
        <f t="shared" si="160"/>
        <v>1</v>
      </c>
      <c r="Q281" s="36">
        <f t="shared" si="160"/>
        <v>1</v>
      </c>
    </row>
    <row r="282" spans="1:17" x14ac:dyDescent="0.25">
      <c r="A282" s="37">
        <v>2200</v>
      </c>
      <c r="B282" s="7" t="s">
        <v>27</v>
      </c>
      <c r="D282" s="89">
        <f t="shared" si="158"/>
        <v>11830</v>
      </c>
      <c r="E282"/>
      <c r="F282" s="83">
        <v>0</v>
      </c>
      <c r="G282" s="83">
        <v>0</v>
      </c>
      <c r="H282" s="83">
        <v>0</v>
      </c>
      <c r="I282">
        <f>H282</f>
        <v>0</v>
      </c>
      <c r="J282">
        <f>I282</f>
        <v>0</v>
      </c>
      <c r="K282">
        <f>J282</f>
        <v>0</v>
      </c>
      <c r="L282" s="44">
        <v>0</v>
      </c>
      <c r="M282">
        <v>0</v>
      </c>
      <c r="N282">
        <f t="shared" si="160"/>
        <v>0</v>
      </c>
      <c r="O282">
        <f t="shared" si="160"/>
        <v>0</v>
      </c>
      <c r="P282" s="36">
        <f t="shared" si="160"/>
        <v>0</v>
      </c>
      <c r="Q282" s="36">
        <f t="shared" si="160"/>
        <v>0</v>
      </c>
    </row>
    <row r="283" spans="1:17" x14ac:dyDescent="0.25">
      <c r="A283" s="37">
        <v>2200</v>
      </c>
      <c r="B283" s="7" t="s">
        <v>27</v>
      </c>
      <c r="D283" s="89">
        <f t="shared" si="158"/>
        <v>11830</v>
      </c>
      <c r="E283"/>
      <c r="F283" s="83">
        <v>0</v>
      </c>
      <c r="G283" s="83">
        <v>0</v>
      </c>
      <c r="H283" s="83">
        <v>0</v>
      </c>
      <c r="I283">
        <v>0</v>
      </c>
      <c r="J283">
        <v>0</v>
      </c>
      <c r="K283" s="83">
        <v>0</v>
      </c>
      <c r="L283" s="44">
        <v>0</v>
      </c>
      <c r="M283">
        <v>0</v>
      </c>
      <c r="N283">
        <v>0</v>
      </c>
      <c r="O283">
        <v>0</v>
      </c>
      <c r="P283" s="36">
        <v>0</v>
      </c>
      <c r="Q283" s="36">
        <v>0</v>
      </c>
    </row>
    <row r="284" spans="1:17" x14ac:dyDescent="0.25">
      <c r="A284" s="37">
        <v>2200</v>
      </c>
      <c r="B284" s="7" t="s">
        <v>27</v>
      </c>
      <c r="D284" s="89">
        <f t="shared" si="158"/>
        <v>11830</v>
      </c>
      <c r="E284"/>
      <c r="F284" s="83">
        <v>0</v>
      </c>
      <c r="G284" s="83">
        <v>0</v>
      </c>
      <c r="H284" s="83">
        <v>0</v>
      </c>
      <c r="I284">
        <v>0</v>
      </c>
      <c r="J284">
        <v>0</v>
      </c>
      <c r="K284">
        <v>0</v>
      </c>
      <c r="L284" s="44">
        <v>0</v>
      </c>
      <c r="M284">
        <v>0</v>
      </c>
      <c r="N284">
        <v>0</v>
      </c>
      <c r="O284">
        <v>0</v>
      </c>
      <c r="P284" s="36">
        <v>0</v>
      </c>
      <c r="Q284" s="36">
        <v>0</v>
      </c>
    </row>
    <row r="285" spans="1:17" x14ac:dyDescent="0.25">
      <c r="A285" s="37">
        <v>2200</v>
      </c>
      <c r="B285" s="7" t="s">
        <v>27</v>
      </c>
      <c r="D285" s="89">
        <f t="shared" si="158"/>
        <v>11830</v>
      </c>
      <c r="E285"/>
      <c r="F285" s="83">
        <v>0</v>
      </c>
      <c r="G285" s="83">
        <v>0</v>
      </c>
      <c r="H285" s="83">
        <v>0</v>
      </c>
      <c r="I285">
        <v>0</v>
      </c>
      <c r="J285">
        <v>0</v>
      </c>
      <c r="K285">
        <v>0</v>
      </c>
      <c r="L285" s="44">
        <v>0</v>
      </c>
      <c r="M285">
        <v>0</v>
      </c>
      <c r="N285">
        <v>0</v>
      </c>
      <c r="O285">
        <v>0</v>
      </c>
      <c r="P285" s="36">
        <v>0</v>
      </c>
      <c r="Q285" s="36">
        <v>0</v>
      </c>
    </row>
    <row r="286" spans="1:17" s="37" customFormat="1" x14ac:dyDescent="0.25">
      <c r="A286" s="37">
        <v>2200</v>
      </c>
      <c r="B286" s="7" t="s">
        <v>87</v>
      </c>
      <c r="D286" s="89">
        <f t="shared" si="158"/>
        <v>11830</v>
      </c>
      <c r="F286" s="36">
        <v>0</v>
      </c>
      <c r="G286" s="36">
        <v>0</v>
      </c>
      <c r="H286" s="36">
        <v>0</v>
      </c>
      <c r="I286" s="36">
        <v>1</v>
      </c>
      <c r="J286" s="36">
        <v>1</v>
      </c>
      <c r="K286" s="36">
        <v>1</v>
      </c>
      <c r="L286" s="36">
        <v>1</v>
      </c>
      <c r="M286" s="36">
        <v>1</v>
      </c>
      <c r="N286" s="36">
        <v>1</v>
      </c>
      <c r="O286" s="36">
        <v>1</v>
      </c>
      <c r="P286" s="36">
        <v>1</v>
      </c>
      <c r="Q286" s="36">
        <v>1</v>
      </c>
    </row>
    <row r="287" spans="1:17" x14ac:dyDescent="0.25">
      <c r="A287" s="37">
        <v>2200</v>
      </c>
      <c r="B287" s="7" t="s">
        <v>87</v>
      </c>
      <c r="D287" s="89">
        <f t="shared" si="158"/>
        <v>11830</v>
      </c>
      <c r="E287"/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0.5</v>
      </c>
      <c r="L287" s="36">
        <v>1</v>
      </c>
      <c r="M287" s="36">
        <v>1</v>
      </c>
      <c r="N287" s="36">
        <v>1</v>
      </c>
      <c r="O287" s="36">
        <v>1</v>
      </c>
      <c r="P287" s="36">
        <v>1</v>
      </c>
      <c r="Q287" s="36">
        <v>1</v>
      </c>
    </row>
    <row r="288" spans="1:17" x14ac:dyDescent="0.25">
      <c r="A288" s="37">
        <v>2200</v>
      </c>
      <c r="B288" s="7" t="s">
        <v>87</v>
      </c>
      <c r="D288" s="89">
        <f t="shared" si="158"/>
        <v>11830</v>
      </c>
      <c r="E288"/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</row>
    <row r="289" spans="1:17" x14ac:dyDescent="0.25">
      <c r="A289" s="37">
        <v>2200</v>
      </c>
      <c r="B289" s="7" t="s">
        <v>87</v>
      </c>
      <c r="D289" s="89">
        <f t="shared" si="158"/>
        <v>11830</v>
      </c>
      <c r="E289"/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</row>
    <row r="290" spans="1:17" x14ac:dyDescent="0.25">
      <c r="A290" s="37">
        <v>2200</v>
      </c>
      <c r="B290" s="7" t="s">
        <v>87</v>
      </c>
      <c r="D290" s="89">
        <f t="shared" si="158"/>
        <v>11830</v>
      </c>
      <c r="E290"/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</row>
    <row r="291" spans="1:17" x14ac:dyDescent="0.25">
      <c r="A291" s="37">
        <v>1110</v>
      </c>
      <c r="B291" s="7" t="s">
        <v>159</v>
      </c>
      <c r="D291" s="89">
        <v>50000</v>
      </c>
      <c r="E291"/>
      <c r="F291" s="36">
        <f t="shared" ref="F291:Q291" si="161">IF(F$182&gt;1,1,0)</f>
        <v>0</v>
      </c>
      <c r="G291" s="36">
        <f t="shared" si="161"/>
        <v>0</v>
      </c>
      <c r="H291" s="36">
        <f t="shared" si="161"/>
        <v>0</v>
      </c>
      <c r="I291" s="36">
        <f t="shared" si="161"/>
        <v>0</v>
      </c>
      <c r="J291" s="36">
        <f t="shared" si="161"/>
        <v>0</v>
      </c>
      <c r="K291" s="36">
        <f t="shared" si="161"/>
        <v>0</v>
      </c>
      <c r="L291" s="36">
        <f t="shared" si="161"/>
        <v>0</v>
      </c>
      <c r="M291" s="36">
        <f t="shared" si="161"/>
        <v>0</v>
      </c>
      <c r="N291" s="36">
        <f t="shared" si="161"/>
        <v>0</v>
      </c>
      <c r="O291" s="36">
        <f t="shared" si="161"/>
        <v>0</v>
      </c>
      <c r="P291" s="36">
        <f t="shared" si="161"/>
        <v>0</v>
      </c>
      <c r="Q291" s="36">
        <f t="shared" si="161"/>
        <v>0</v>
      </c>
    </row>
    <row r="292" spans="1:17" x14ac:dyDescent="0.25">
      <c r="A292" s="37">
        <v>1110</v>
      </c>
      <c r="B292" s="7" t="s">
        <v>161</v>
      </c>
      <c r="D292" s="89">
        <v>50000</v>
      </c>
      <c r="E292"/>
      <c r="F292" s="36">
        <f t="shared" ref="F292:Q292" si="162">IF(F$183&gt;1,1,0)</f>
        <v>0</v>
      </c>
      <c r="G292" s="36">
        <f t="shared" si="162"/>
        <v>0</v>
      </c>
      <c r="H292" s="36">
        <f t="shared" si="162"/>
        <v>0</v>
      </c>
      <c r="I292" s="36">
        <f t="shared" si="162"/>
        <v>0</v>
      </c>
      <c r="J292" s="36">
        <f t="shared" si="162"/>
        <v>0</v>
      </c>
      <c r="K292" s="36">
        <f t="shared" si="162"/>
        <v>0</v>
      </c>
      <c r="L292" s="36">
        <f t="shared" si="162"/>
        <v>0</v>
      </c>
      <c r="M292" s="36">
        <f t="shared" si="162"/>
        <v>0</v>
      </c>
      <c r="N292" s="36">
        <f t="shared" si="162"/>
        <v>0</v>
      </c>
      <c r="O292" s="36">
        <f t="shared" si="162"/>
        <v>0</v>
      </c>
      <c r="P292" s="36">
        <f t="shared" si="162"/>
        <v>0</v>
      </c>
      <c r="Q292" s="36">
        <f t="shared" si="162"/>
        <v>0</v>
      </c>
    </row>
    <row r="293" spans="1:17" x14ac:dyDescent="0.25">
      <c r="A293" s="37">
        <v>1110</v>
      </c>
      <c r="B293" s="7" t="s">
        <v>163</v>
      </c>
      <c r="D293" s="89">
        <v>50000</v>
      </c>
      <c r="E293"/>
      <c r="F293" s="36">
        <f t="shared" ref="F293:Q293" si="163">IF(F$184&gt;1,1,0)</f>
        <v>0</v>
      </c>
      <c r="G293" s="36">
        <f t="shared" si="163"/>
        <v>0</v>
      </c>
      <c r="H293" s="36">
        <f t="shared" si="163"/>
        <v>0</v>
      </c>
      <c r="I293" s="36">
        <f t="shared" si="163"/>
        <v>0</v>
      </c>
      <c r="J293" s="36">
        <f t="shared" si="163"/>
        <v>0</v>
      </c>
      <c r="K293" s="36">
        <f t="shared" si="163"/>
        <v>0</v>
      </c>
      <c r="L293" s="36">
        <f t="shared" si="163"/>
        <v>0</v>
      </c>
      <c r="M293" s="36">
        <f t="shared" si="163"/>
        <v>0</v>
      </c>
      <c r="N293" s="36">
        <f t="shared" si="163"/>
        <v>0</v>
      </c>
      <c r="O293" s="36">
        <f t="shared" si="163"/>
        <v>0</v>
      </c>
      <c r="P293" s="36">
        <f t="shared" si="163"/>
        <v>0</v>
      </c>
      <c r="Q293" s="36">
        <f t="shared" si="163"/>
        <v>0</v>
      </c>
    </row>
    <row r="294" spans="1:17" x14ac:dyDescent="0.25">
      <c r="A294" s="37">
        <v>1110</v>
      </c>
      <c r="B294" s="7" t="s">
        <v>165</v>
      </c>
      <c r="D294" s="89">
        <v>50000</v>
      </c>
      <c r="E294"/>
      <c r="F294" s="36">
        <f t="shared" ref="F294:Q294" si="164">IF(F$185&gt;1,1,0)</f>
        <v>0</v>
      </c>
      <c r="G294" s="36">
        <f t="shared" si="164"/>
        <v>0</v>
      </c>
      <c r="H294" s="36">
        <f t="shared" si="164"/>
        <v>0</v>
      </c>
      <c r="I294" s="36">
        <f t="shared" si="164"/>
        <v>0</v>
      </c>
      <c r="J294" s="36">
        <f t="shared" si="164"/>
        <v>0</v>
      </c>
      <c r="K294" s="36">
        <f t="shared" si="164"/>
        <v>0</v>
      </c>
      <c r="L294" s="36">
        <f t="shared" si="164"/>
        <v>0</v>
      </c>
      <c r="M294" s="36">
        <f t="shared" si="164"/>
        <v>0</v>
      </c>
      <c r="N294" s="36">
        <f t="shared" si="164"/>
        <v>0</v>
      </c>
      <c r="O294" s="36">
        <f t="shared" si="164"/>
        <v>0</v>
      </c>
      <c r="P294" s="36">
        <f t="shared" si="164"/>
        <v>0</v>
      </c>
      <c r="Q294" s="36">
        <f t="shared" si="164"/>
        <v>0</v>
      </c>
    </row>
    <row r="295" spans="1:17" x14ac:dyDescent="0.25">
      <c r="A295" s="37">
        <v>1110</v>
      </c>
      <c r="B295" s="7" t="s">
        <v>160</v>
      </c>
      <c r="D295" s="89">
        <v>50000</v>
      </c>
      <c r="E295"/>
      <c r="F295" s="36">
        <f t="shared" ref="F295:Q295" si="165">IF(F$182&gt;1,1,0)</f>
        <v>0</v>
      </c>
      <c r="G295" s="36">
        <f t="shared" si="165"/>
        <v>0</v>
      </c>
      <c r="H295" s="36">
        <f t="shared" si="165"/>
        <v>0</v>
      </c>
      <c r="I295" s="36">
        <f t="shared" si="165"/>
        <v>0</v>
      </c>
      <c r="J295" s="36">
        <f t="shared" si="165"/>
        <v>0</v>
      </c>
      <c r="K295" s="36">
        <f t="shared" si="165"/>
        <v>0</v>
      </c>
      <c r="L295" s="36">
        <f t="shared" si="165"/>
        <v>0</v>
      </c>
      <c r="M295" s="36">
        <f t="shared" si="165"/>
        <v>0</v>
      </c>
      <c r="N295" s="36">
        <f t="shared" si="165"/>
        <v>0</v>
      </c>
      <c r="O295" s="36">
        <f t="shared" si="165"/>
        <v>0</v>
      </c>
      <c r="P295" s="36">
        <f t="shared" si="165"/>
        <v>0</v>
      </c>
      <c r="Q295" s="36">
        <f t="shared" si="165"/>
        <v>0</v>
      </c>
    </row>
    <row r="296" spans="1:17" x14ac:dyDescent="0.25">
      <c r="A296" s="37">
        <v>1110</v>
      </c>
      <c r="B296" s="7" t="s">
        <v>162</v>
      </c>
      <c r="D296" s="89">
        <v>50000</v>
      </c>
      <c r="E296"/>
      <c r="F296" s="36">
        <f t="shared" ref="F296:Q296" si="166">IF(F$183&gt;1,1,0)</f>
        <v>0</v>
      </c>
      <c r="G296" s="36">
        <f t="shared" si="166"/>
        <v>0</v>
      </c>
      <c r="H296" s="36">
        <f t="shared" si="166"/>
        <v>0</v>
      </c>
      <c r="I296" s="36">
        <f t="shared" si="166"/>
        <v>0</v>
      </c>
      <c r="J296" s="36">
        <f t="shared" si="166"/>
        <v>0</v>
      </c>
      <c r="K296" s="36">
        <f t="shared" si="166"/>
        <v>0</v>
      </c>
      <c r="L296" s="36">
        <f t="shared" si="166"/>
        <v>0</v>
      </c>
      <c r="M296" s="36">
        <f t="shared" si="166"/>
        <v>0</v>
      </c>
      <c r="N296" s="36">
        <f t="shared" si="166"/>
        <v>0</v>
      </c>
      <c r="O296" s="36">
        <f t="shared" si="166"/>
        <v>0</v>
      </c>
      <c r="P296" s="36">
        <f t="shared" si="166"/>
        <v>0</v>
      </c>
      <c r="Q296" s="36">
        <f t="shared" si="166"/>
        <v>0</v>
      </c>
    </row>
    <row r="297" spans="1:17" x14ac:dyDescent="0.25">
      <c r="A297" s="37">
        <v>1110</v>
      </c>
      <c r="B297" s="7" t="s">
        <v>164</v>
      </c>
      <c r="D297" s="89">
        <v>50000</v>
      </c>
      <c r="E297"/>
      <c r="F297" s="36">
        <f t="shared" ref="F297:Q297" si="167">IF(F$184&gt;1,1,0)</f>
        <v>0</v>
      </c>
      <c r="G297" s="36">
        <f t="shared" si="167"/>
        <v>0</v>
      </c>
      <c r="H297" s="36">
        <f t="shared" si="167"/>
        <v>0</v>
      </c>
      <c r="I297" s="36">
        <f t="shared" si="167"/>
        <v>0</v>
      </c>
      <c r="J297" s="36">
        <f t="shared" si="167"/>
        <v>0</v>
      </c>
      <c r="K297" s="36">
        <f t="shared" si="167"/>
        <v>0</v>
      </c>
      <c r="L297" s="36">
        <f t="shared" si="167"/>
        <v>0</v>
      </c>
      <c r="M297" s="36">
        <f t="shared" si="167"/>
        <v>0</v>
      </c>
      <c r="N297" s="36">
        <f t="shared" si="167"/>
        <v>0</v>
      </c>
      <c r="O297" s="36">
        <f t="shared" si="167"/>
        <v>0</v>
      </c>
      <c r="P297" s="36">
        <f t="shared" si="167"/>
        <v>0</v>
      </c>
      <c r="Q297" s="36">
        <f t="shared" si="167"/>
        <v>0</v>
      </c>
    </row>
    <row r="298" spans="1:17" x14ac:dyDescent="0.25">
      <c r="A298" s="37">
        <v>1110</v>
      </c>
      <c r="B298" s="7" t="s">
        <v>166</v>
      </c>
      <c r="D298" s="89">
        <v>50000</v>
      </c>
      <c r="E298"/>
      <c r="F298" s="36">
        <f t="shared" ref="F298:Q298" si="168">IF(F$185&gt;1,1,0)</f>
        <v>0</v>
      </c>
      <c r="G298" s="36">
        <f t="shared" si="168"/>
        <v>0</v>
      </c>
      <c r="H298" s="36">
        <f t="shared" si="168"/>
        <v>0</v>
      </c>
      <c r="I298" s="36">
        <f t="shared" si="168"/>
        <v>0</v>
      </c>
      <c r="J298" s="36">
        <f t="shared" si="168"/>
        <v>0</v>
      </c>
      <c r="K298" s="36">
        <f t="shared" si="168"/>
        <v>0</v>
      </c>
      <c r="L298" s="36">
        <f t="shared" si="168"/>
        <v>0</v>
      </c>
      <c r="M298" s="36">
        <f t="shared" si="168"/>
        <v>0</v>
      </c>
      <c r="N298" s="36">
        <f t="shared" si="168"/>
        <v>0</v>
      </c>
      <c r="O298" s="36">
        <f t="shared" si="168"/>
        <v>0</v>
      </c>
      <c r="P298" s="36">
        <f t="shared" si="168"/>
        <v>0</v>
      </c>
      <c r="Q298" s="36">
        <f t="shared" si="168"/>
        <v>0</v>
      </c>
    </row>
    <row r="299" spans="1:17" x14ac:dyDescent="0.25">
      <c r="A299" s="37">
        <v>1110</v>
      </c>
      <c r="B299" s="7" t="s">
        <v>167</v>
      </c>
      <c r="D299" s="89">
        <v>50000</v>
      </c>
      <c r="E299"/>
      <c r="F299" s="36">
        <f t="shared" ref="F299:Q299" si="169">IF(F$182&gt;1,1,0)</f>
        <v>0</v>
      </c>
      <c r="G299" s="36">
        <f t="shared" si="169"/>
        <v>0</v>
      </c>
      <c r="H299" s="36">
        <f t="shared" si="169"/>
        <v>0</v>
      </c>
      <c r="I299" s="36">
        <f t="shared" si="169"/>
        <v>0</v>
      </c>
      <c r="J299" s="36">
        <f t="shared" si="169"/>
        <v>0</v>
      </c>
      <c r="K299" s="36">
        <f t="shared" si="169"/>
        <v>0</v>
      </c>
      <c r="L299" s="36">
        <f t="shared" si="169"/>
        <v>0</v>
      </c>
      <c r="M299" s="36">
        <f t="shared" si="169"/>
        <v>0</v>
      </c>
      <c r="N299" s="36">
        <f t="shared" si="169"/>
        <v>0</v>
      </c>
      <c r="O299" s="36">
        <f t="shared" si="169"/>
        <v>0</v>
      </c>
      <c r="P299" s="36">
        <f t="shared" si="169"/>
        <v>0</v>
      </c>
      <c r="Q299" s="36">
        <f t="shared" si="169"/>
        <v>0</v>
      </c>
    </row>
    <row r="300" spans="1:17" x14ac:dyDescent="0.25">
      <c r="A300" s="37">
        <v>1110</v>
      </c>
      <c r="B300" s="7" t="s">
        <v>168</v>
      </c>
      <c r="D300" s="89">
        <v>50000</v>
      </c>
      <c r="E300"/>
      <c r="F300" s="36">
        <f t="shared" ref="F300:Q300" si="170">IF(F$183&gt;1,1,0)</f>
        <v>0</v>
      </c>
      <c r="G300" s="36">
        <f t="shared" si="170"/>
        <v>0</v>
      </c>
      <c r="H300" s="36">
        <f t="shared" si="170"/>
        <v>0</v>
      </c>
      <c r="I300" s="36">
        <f t="shared" si="170"/>
        <v>0</v>
      </c>
      <c r="J300" s="36">
        <f t="shared" si="170"/>
        <v>0</v>
      </c>
      <c r="K300" s="36">
        <f t="shared" si="170"/>
        <v>0</v>
      </c>
      <c r="L300" s="36">
        <f t="shared" si="170"/>
        <v>0</v>
      </c>
      <c r="M300" s="36">
        <f t="shared" si="170"/>
        <v>0</v>
      </c>
      <c r="N300" s="36">
        <f t="shared" si="170"/>
        <v>0</v>
      </c>
      <c r="O300" s="36">
        <f t="shared" si="170"/>
        <v>0</v>
      </c>
      <c r="P300" s="36">
        <f t="shared" si="170"/>
        <v>0</v>
      </c>
      <c r="Q300" s="36">
        <f t="shared" si="170"/>
        <v>0</v>
      </c>
    </row>
    <row r="301" spans="1:17" x14ac:dyDescent="0.25">
      <c r="A301" s="37">
        <v>1110</v>
      </c>
      <c r="B301" s="7" t="s">
        <v>244</v>
      </c>
      <c r="D301" s="89">
        <v>50000</v>
      </c>
      <c r="E301"/>
      <c r="F301" s="36">
        <f t="shared" ref="F301:Q301" si="171">IF(F$184&gt;1,1,0)</f>
        <v>0</v>
      </c>
      <c r="G301" s="36">
        <f t="shared" si="171"/>
        <v>0</v>
      </c>
      <c r="H301" s="36">
        <f t="shared" si="171"/>
        <v>0</v>
      </c>
      <c r="I301" s="36">
        <f t="shared" si="171"/>
        <v>0</v>
      </c>
      <c r="J301" s="36">
        <f t="shared" si="171"/>
        <v>0</v>
      </c>
      <c r="K301" s="36">
        <f t="shared" si="171"/>
        <v>0</v>
      </c>
      <c r="L301" s="36">
        <f t="shared" si="171"/>
        <v>0</v>
      </c>
      <c r="M301" s="36">
        <f t="shared" si="171"/>
        <v>0</v>
      </c>
      <c r="N301" s="36">
        <f t="shared" si="171"/>
        <v>0</v>
      </c>
      <c r="O301" s="36">
        <f t="shared" si="171"/>
        <v>0</v>
      </c>
      <c r="P301" s="36">
        <f t="shared" si="171"/>
        <v>0</v>
      </c>
      <c r="Q301" s="36">
        <f t="shared" si="171"/>
        <v>0</v>
      </c>
    </row>
    <row r="302" spans="1:17" x14ac:dyDescent="0.25">
      <c r="A302" s="37">
        <v>1110</v>
      </c>
      <c r="B302" s="7" t="s">
        <v>169</v>
      </c>
      <c r="D302" s="89">
        <v>50000</v>
      </c>
      <c r="E302"/>
      <c r="F302" s="36">
        <f t="shared" ref="F302:Q302" si="172">IF(F$185&gt;1,1,0)</f>
        <v>0</v>
      </c>
      <c r="G302" s="36">
        <f t="shared" si="172"/>
        <v>0</v>
      </c>
      <c r="H302" s="36">
        <f t="shared" si="172"/>
        <v>0</v>
      </c>
      <c r="I302" s="36">
        <f t="shared" si="172"/>
        <v>0</v>
      </c>
      <c r="J302" s="36">
        <f t="shared" si="172"/>
        <v>0</v>
      </c>
      <c r="K302" s="36">
        <f t="shared" si="172"/>
        <v>0</v>
      </c>
      <c r="L302" s="36">
        <f t="shared" si="172"/>
        <v>0</v>
      </c>
      <c r="M302" s="36">
        <f t="shared" si="172"/>
        <v>0</v>
      </c>
      <c r="N302" s="36">
        <f t="shared" si="172"/>
        <v>0</v>
      </c>
      <c r="O302" s="36">
        <f t="shared" si="172"/>
        <v>0</v>
      </c>
      <c r="P302" s="36">
        <f t="shared" si="172"/>
        <v>0</v>
      </c>
      <c r="Q302" s="36">
        <f t="shared" si="172"/>
        <v>0</v>
      </c>
    </row>
    <row r="303" spans="1:17" x14ac:dyDescent="0.25">
      <c r="A303" s="37">
        <v>1110</v>
      </c>
      <c r="B303" s="7" t="s">
        <v>245</v>
      </c>
      <c r="D303" s="89">
        <v>50000</v>
      </c>
      <c r="E303"/>
      <c r="F303" s="36">
        <f t="shared" ref="F303:Q307" si="173">IF(F$182&gt;1,1,0)</f>
        <v>0</v>
      </c>
      <c r="G303" s="36">
        <f t="shared" si="173"/>
        <v>0</v>
      </c>
      <c r="H303" s="36">
        <f t="shared" si="173"/>
        <v>0</v>
      </c>
      <c r="I303" s="36">
        <f t="shared" si="173"/>
        <v>0</v>
      </c>
      <c r="J303" s="36">
        <f t="shared" si="173"/>
        <v>0</v>
      </c>
      <c r="K303" s="36">
        <f t="shared" si="173"/>
        <v>0</v>
      </c>
      <c r="L303" s="36">
        <f t="shared" si="173"/>
        <v>0</v>
      </c>
      <c r="M303" s="36">
        <f t="shared" si="173"/>
        <v>0</v>
      </c>
      <c r="N303" s="36">
        <f t="shared" si="173"/>
        <v>0</v>
      </c>
      <c r="O303" s="36">
        <f t="shared" si="173"/>
        <v>0</v>
      </c>
      <c r="P303" s="36">
        <f t="shared" si="173"/>
        <v>0</v>
      </c>
      <c r="Q303" s="36">
        <f t="shared" si="173"/>
        <v>0</v>
      </c>
    </row>
    <row r="304" spans="1:17" x14ac:dyDescent="0.25">
      <c r="A304" s="37">
        <v>1110</v>
      </c>
      <c r="B304" s="7" t="s">
        <v>246</v>
      </c>
      <c r="D304" s="89">
        <v>50000</v>
      </c>
      <c r="E304"/>
      <c r="F304" s="36">
        <f t="shared" si="173"/>
        <v>0</v>
      </c>
      <c r="G304" s="36">
        <f t="shared" si="173"/>
        <v>0</v>
      </c>
      <c r="H304" s="36">
        <f t="shared" si="173"/>
        <v>0</v>
      </c>
      <c r="I304" s="36">
        <f t="shared" si="173"/>
        <v>0</v>
      </c>
      <c r="J304" s="36">
        <f t="shared" si="173"/>
        <v>0</v>
      </c>
      <c r="K304" s="36">
        <f t="shared" si="173"/>
        <v>0</v>
      </c>
      <c r="L304" s="36">
        <f t="shared" si="173"/>
        <v>0</v>
      </c>
      <c r="M304" s="36">
        <f t="shared" si="173"/>
        <v>0</v>
      </c>
      <c r="N304" s="36">
        <f t="shared" si="173"/>
        <v>0</v>
      </c>
      <c r="O304" s="36">
        <f t="shared" si="173"/>
        <v>0</v>
      </c>
      <c r="P304" s="36">
        <f t="shared" si="173"/>
        <v>0</v>
      </c>
      <c r="Q304" s="36">
        <f t="shared" si="173"/>
        <v>0</v>
      </c>
    </row>
    <row r="305" spans="1:17" x14ac:dyDescent="0.25">
      <c r="A305" s="37">
        <v>1110</v>
      </c>
      <c r="B305" s="7" t="s">
        <v>247</v>
      </c>
      <c r="D305" s="89">
        <v>50000</v>
      </c>
      <c r="E305"/>
      <c r="F305" s="36">
        <f t="shared" si="173"/>
        <v>0</v>
      </c>
      <c r="G305" s="36">
        <f t="shared" si="173"/>
        <v>0</v>
      </c>
      <c r="H305" s="36">
        <f t="shared" si="173"/>
        <v>0</v>
      </c>
      <c r="I305" s="36">
        <f t="shared" si="173"/>
        <v>0</v>
      </c>
      <c r="J305" s="36">
        <f t="shared" si="173"/>
        <v>0</v>
      </c>
      <c r="K305" s="36">
        <f t="shared" si="173"/>
        <v>0</v>
      </c>
      <c r="L305" s="36">
        <f t="shared" si="173"/>
        <v>0</v>
      </c>
      <c r="M305" s="36">
        <f t="shared" si="173"/>
        <v>0</v>
      </c>
      <c r="N305" s="36">
        <f t="shared" si="173"/>
        <v>0</v>
      </c>
      <c r="O305" s="36">
        <f t="shared" si="173"/>
        <v>0</v>
      </c>
      <c r="P305" s="36">
        <f t="shared" si="173"/>
        <v>0</v>
      </c>
      <c r="Q305" s="36">
        <f t="shared" si="173"/>
        <v>0</v>
      </c>
    </row>
    <row r="306" spans="1:17" x14ac:dyDescent="0.25">
      <c r="A306" s="37">
        <v>1110</v>
      </c>
      <c r="B306" s="7" t="s">
        <v>247</v>
      </c>
      <c r="D306" s="89">
        <v>50000</v>
      </c>
      <c r="E306"/>
      <c r="F306" s="36">
        <f t="shared" si="173"/>
        <v>0</v>
      </c>
      <c r="G306" s="36">
        <f t="shared" si="173"/>
        <v>0</v>
      </c>
      <c r="H306" s="36">
        <f t="shared" si="173"/>
        <v>0</v>
      </c>
      <c r="I306" s="36">
        <f t="shared" si="173"/>
        <v>0</v>
      </c>
      <c r="J306" s="36">
        <f t="shared" si="173"/>
        <v>0</v>
      </c>
      <c r="K306" s="36">
        <f t="shared" si="173"/>
        <v>0</v>
      </c>
      <c r="L306" s="36">
        <f t="shared" si="173"/>
        <v>0</v>
      </c>
      <c r="M306" s="36">
        <f t="shared" si="173"/>
        <v>0</v>
      </c>
      <c r="N306" s="36">
        <f t="shared" si="173"/>
        <v>0</v>
      </c>
      <c r="O306" s="36">
        <f t="shared" si="173"/>
        <v>0</v>
      </c>
      <c r="P306" s="36">
        <f t="shared" si="173"/>
        <v>0</v>
      </c>
      <c r="Q306" s="36">
        <f t="shared" si="173"/>
        <v>0</v>
      </c>
    </row>
    <row r="307" spans="1:17" x14ac:dyDescent="0.25">
      <c r="A307" s="37">
        <v>2100</v>
      </c>
      <c r="B307" s="7" t="s">
        <v>170</v>
      </c>
      <c r="D307" s="89">
        <v>50000</v>
      </c>
      <c r="E307"/>
      <c r="F307" s="36">
        <f t="shared" si="173"/>
        <v>0</v>
      </c>
      <c r="G307" s="36">
        <f t="shared" si="173"/>
        <v>0</v>
      </c>
      <c r="H307" s="36">
        <f t="shared" si="173"/>
        <v>0</v>
      </c>
      <c r="I307" s="36">
        <f t="shared" si="173"/>
        <v>0</v>
      </c>
      <c r="J307" s="36">
        <f t="shared" si="173"/>
        <v>0</v>
      </c>
      <c r="K307" s="36">
        <f t="shared" si="173"/>
        <v>0</v>
      </c>
      <c r="L307" s="36">
        <f t="shared" si="173"/>
        <v>0</v>
      </c>
      <c r="M307" s="36">
        <f t="shared" si="173"/>
        <v>0</v>
      </c>
      <c r="N307" s="36">
        <f t="shared" si="173"/>
        <v>0</v>
      </c>
      <c r="O307" s="36">
        <f t="shared" si="173"/>
        <v>0</v>
      </c>
      <c r="P307" s="36">
        <f t="shared" si="173"/>
        <v>0</v>
      </c>
      <c r="Q307" s="36">
        <f t="shared" si="173"/>
        <v>0</v>
      </c>
    </row>
    <row r="308" spans="1:17" x14ac:dyDescent="0.25">
      <c r="A308" s="37">
        <v>2100</v>
      </c>
      <c r="B308" s="7" t="s">
        <v>170</v>
      </c>
      <c r="D308" s="89">
        <v>50000</v>
      </c>
      <c r="E308"/>
      <c r="F308" s="36">
        <f t="shared" ref="F308:Q308" si="174">IF(F$184&gt;1,1,0)</f>
        <v>0</v>
      </c>
      <c r="G308" s="36">
        <f t="shared" si="174"/>
        <v>0</v>
      </c>
      <c r="H308" s="36">
        <f t="shared" si="174"/>
        <v>0</v>
      </c>
      <c r="I308" s="36">
        <f t="shared" si="174"/>
        <v>0</v>
      </c>
      <c r="J308" s="36">
        <f t="shared" si="174"/>
        <v>0</v>
      </c>
      <c r="K308" s="36">
        <f t="shared" si="174"/>
        <v>0</v>
      </c>
      <c r="L308" s="36">
        <f t="shared" si="174"/>
        <v>0</v>
      </c>
      <c r="M308" s="36">
        <f t="shared" si="174"/>
        <v>0</v>
      </c>
      <c r="N308" s="36">
        <f t="shared" si="174"/>
        <v>0</v>
      </c>
      <c r="O308" s="36">
        <f t="shared" si="174"/>
        <v>0</v>
      </c>
      <c r="P308" s="36">
        <f t="shared" si="174"/>
        <v>0</v>
      </c>
      <c r="Q308" s="36">
        <f t="shared" si="174"/>
        <v>0</v>
      </c>
    </row>
    <row r="309" spans="1:17" x14ac:dyDescent="0.25">
      <c r="A309" s="37">
        <v>2300</v>
      </c>
      <c r="B309" s="7" t="s">
        <v>248</v>
      </c>
      <c r="D309" s="89">
        <v>50000</v>
      </c>
      <c r="E309"/>
      <c r="F309" s="36">
        <f t="shared" ref="F309:Q309" si="175">IF(F$182&gt;1,1,0)</f>
        <v>0</v>
      </c>
      <c r="G309" s="36">
        <f t="shared" si="175"/>
        <v>0</v>
      </c>
      <c r="H309" s="36">
        <f t="shared" si="175"/>
        <v>0</v>
      </c>
      <c r="I309" s="36">
        <f t="shared" si="175"/>
        <v>0</v>
      </c>
      <c r="J309" s="36">
        <f t="shared" si="175"/>
        <v>0</v>
      </c>
      <c r="K309" s="36">
        <f t="shared" si="175"/>
        <v>0</v>
      </c>
      <c r="L309" s="36">
        <f t="shared" si="175"/>
        <v>0</v>
      </c>
      <c r="M309" s="36">
        <f t="shared" si="175"/>
        <v>0</v>
      </c>
      <c r="N309" s="36">
        <f t="shared" si="175"/>
        <v>0</v>
      </c>
      <c r="O309" s="36">
        <f t="shared" si="175"/>
        <v>0</v>
      </c>
      <c r="P309" s="36">
        <f t="shared" si="175"/>
        <v>0</v>
      </c>
      <c r="Q309" s="36">
        <f t="shared" si="175"/>
        <v>0</v>
      </c>
    </row>
    <row r="310" spans="1:17" x14ac:dyDescent="0.25">
      <c r="A310" s="37">
        <v>2300</v>
      </c>
      <c r="B310" s="7" t="s">
        <v>248</v>
      </c>
      <c r="D310" s="89">
        <v>50000</v>
      </c>
      <c r="E310"/>
      <c r="F310" s="36">
        <f t="shared" ref="F310:Q310" si="176">IF(F$184&gt;1,1,0)</f>
        <v>0</v>
      </c>
      <c r="G310" s="36">
        <f t="shared" si="176"/>
        <v>0</v>
      </c>
      <c r="H310" s="36">
        <f t="shared" si="176"/>
        <v>0</v>
      </c>
      <c r="I310" s="36">
        <f t="shared" si="176"/>
        <v>0</v>
      </c>
      <c r="J310" s="36">
        <f t="shared" si="176"/>
        <v>0</v>
      </c>
      <c r="K310" s="36">
        <f t="shared" si="176"/>
        <v>0</v>
      </c>
      <c r="L310" s="36">
        <f t="shared" si="176"/>
        <v>0</v>
      </c>
      <c r="M310" s="36">
        <f t="shared" si="176"/>
        <v>0</v>
      </c>
      <c r="N310" s="36">
        <f t="shared" si="176"/>
        <v>0</v>
      </c>
      <c r="O310" s="36">
        <f t="shared" si="176"/>
        <v>0</v>
      </c>
      <c r="P310" s="36">
        <f t="shared" si="176"/>
        <v>0</v>
      </c>
      <c r="Q310" s="36">
        <f t="shared" si="176"/>
        <v>0</v>
      </c>
    </row>
    <row r="311" spans="1:17" x14ac:dyDescent="0.25">
      <c r="A311" s="37">
        <v>2900</v>
      </c>
      <c r="B311" s="7" t="s">
        <v>250</v>
      </c>
      <c r="D311" s="89">
        <v>33000</v>
      </c>
      <c r="E311"/>
      <c r="F311" s="36" t="e">
        <f t="shared" ref="F311:Q311" si="177">IF(SUM(F$173:F$177)&gt;1,1,0)</f>
        <v>#REF!</v>
      </c>
      <c r="G311" s="36" t="e">
        <f t="shared" si="177"/>
        <v>#REF!</v>
      </c>
      <c r="H311" s="36" t="e">
        <f t="shared" si="177"/>
        <v>#REF!</v>
      </c>
      <c r="I311" s="36" t="e">
        <f t="shared" si="177"/>
        <v>#REF!</v>
      </c>
      <c r="J311" s="36" t="e">
        <f t="shared" si="177"/>
        <v>#REF!</v>
      </c>
      <c r="K311" s="36" t="e">
        <f t="shared" si="177"/>
        <v>#REF!</v>
      </c>
      <c r="L311" s="36" t="e">
        <f t="shared" si="177"/>
        <v>#REF!</v>
      </c>
      <c r="M311" s="36" t="e">
        <f t="shared" si="177"/>
        <v>#REF!</v>
      </c>
      <c r="N311" s="36" t="e">
        <f t="shared" si="177"/>
        <v>#REF!</v>
      </c>
      <c r="O311" s="36" t="e">
        <f t="shared" si="177"/>
        <v>#REF!</v>
      </c>
      <c r="P311" s="36" t="e">
        <f t="shared" si="177"/>
        <v>#REF!</v>
      </c>
      <c r="Q311" s="36" t="e">
        <f t="shared" si="177"/>
        <v>#REF!</v>
      </c>
    </row>
    <row r="312" spans="1:17" x14ac:dyDescent="0.25">
      <c r="A312" s="37">
        <v>2900</v>
      </c>
      <c r="B312" s="7" t="s">
        <v>251</v>
      </c>
      <c r="D312" s="89">
        <v>33000</v>
      </c>
      <c r="E312"/>
      <c r="F312" s="36">
        <f t="shared" ref="F312:Q312" si="178">IF(SUM(F$178:F$181)&gt;1,1,0)</f>
        <v>0</v>
      </c>
      <c r="G312" s="36">
        <f t="shared" si="178"/>
        <v>0</v>
      </c>
      <c r="H312" s="36">
        <f t="shared" si="178"/>
        <v>0</v>
      </c>
      <c r="I312" s="36">
        <f t="shared" si="178"/>
        <v>0</v>
      </c>
      <c r="J312" s="36">
        <f t="shared" si="178"/>
        <v>0</v>
      </c>
      <c r="K312" s="36">
        <f t="shared" si="178"/>
        <v>0</v>
      </c>
      <c r="L312" s="36">
        <f t="shared" si="178"/>
        <v>0</v>
      </c>
      <c r="M312" s="36">
        <f t="shared" si="178"/>
        <v>0</v>
      </c>
      <c r="N312" s="36">
        <f t="shared" si="178"/>
        <v>0</v>
      </c>
      <c r="O312" s="36">
        <f t="shared" si="178"/>
        <v>0</v>
      </c>
      <c r="P312" s="36">
        <f t="shared" si="178"/>
        <v>0</v>
      </c>
      <c r="Q312" s="36">
        <f t="shared" si="178"/>
        <v>0</v>
      </c>
    </row>
    <row r="313" spans="1:17" x14ac:dyDescent="0.25">
      <c r="A313" s="37">
        <v>2900</v>
      </c>
      <c r="B313" s="7" t="s">
        <v>26</v>
      </c>
      <c r="D313" s="90">
        <f t="shared" ref="D313:D322" si="179">4*11*185</f>
        <v>8140</v>
      </c>
      <c r="E313"/>
      <c r="F313" s="83">
        <v>0</v>
      </c>
      <c r="G313" s="83">
        <v>0</v>
      </c>
      <c r="H313" s="83">
        <v>0</v>
      </c>
      <c r="I313">
        <v>1</v>
      </c>
      <c r="J313">
        <f t="shared" ref="J313:J322" si="180">I313</f>
        <v>1</v>
      </c>
      <c r="K313">
        <f t="shared" ref="K313:L322" si="181">J313</f>
        <v>1</v>
      </c>
      <c r="L313">
        <f t="shared" si="181"/>
        <v>1</v>
      </c>
      <c r="M313">
        <f t="shared" ref="M313:M321" si="182">L313</f>
        <v>1</v>
      </c>
      <c r="N313">
        <f t="shared" ref="N313:Q321" si="183">M313</f>
        <v>1</v>
      </c>
      <c r="O313">
        <f t="shared" si="183"/>
        <v>1</v>
      </c>
      <c r="P313" s="36">
        <f t="shared" si="183"/>
        <v>1</v>
      </c>
      <c r="Q313" s="36">
        <f t="shared" si="183"/>
        <v>1</v>
      </c>
    </row>
    <row r="314" spans="1:17" x14ac:dyDescent="0.25">
      <c r="A314" s="37">
        <v>2900</v>
      </c>
      <c r="B314" s="7" t="s">
        <v>26</v>
      </c>
      <c r="D314" s="90">
        <f t="shared" si="179"/>
        <v>8140</v>
      </c>
      <c r="E314"/>
      <c r="F314" s="83">
        <v>0</v>
      </c>
      <c r="G314" s="83">
        <v>0</v>
      </c>
      <c r="H314" s="83">
        <v>0</v>
      </c>
      <c r="I314">
        <v>1</v>
      </c>
      <c r="J314">
        <f t="shared" si="180"/>
        <v>1</v>
      </c>
      <c r="K314">
        <f t="shared" si="181"/>
        <v>1</v>
      </c>
      <c r="L314">
        <f t="shared" si="181"/>
        <v>1</v>
      </c>
      <c r="M314">
        <f t="shared" si="182"/>
        <v>1</v>
      </c>
      <c r="N314">
        <f t="shared" si="183"/>
        <v>1</v>
      </c>
      <c r="O314">
        <f t="shared" si="183"/>
        <v>1</v>
      </c>
      <c r="P314" s="36">
        <f t="shared" si="183"/>
        <v>1</v>
      </c>
      <c r="Q314" s="36">
        <f t="shared" si="183"/>
        <v>1</v>
      </c>
    </row>
    <row r="315" spans="1:17" x14ac:dyDescent="0.25">
      <c r="A315" s="37">
        <v>2900</v>
      </c>
      <c r="B315" s="7" t="s">
        <v>26</v>
      </c>
      <c r="D315" s="90">
        <f t="shared" si="179"/>
        <v>8140</v>
      </c>
      <c r="E315"/>
      <c r="F315" s="83">
        <v>0</v>
      </c>
      <c r="G315" s="83">
        <v>0</v>
      </c>
      <c r="H315" s="83">
        <v>0</v>
      </c>
      <c r="I315">
        <v>1</v>
      </c>
      <c r="J315">
        <f t="shared" si="180"/>
        <v>1</v>
      </c>
      <c r="K315">
        <f t="shared" si="181"/>
        <v>1</v>
      </c>
      <c r="L315">
        <f t="shared" si="181"/>
        <v>1</v>
      </c>
      <c r="M315">
        <f t="shared" si="182"/>
        <v>1</v>
      </c>
      <c r="N315">
        <f t="shared" si="183"/>
        <v>1</v>
      </c>
      <c r="O315">
        <f t="shared" si="183"/>
        <v>1</v>
      </c>
      <c r="P315" s="36">
        <f t="shared" si="183"/>
        <v>1</v>
      </c>
      <c r="Q315" s="36">
        <f t="shared" si="183"/>
        <v>1</v>
      </c>
    </row>
    <row r="316" spans="1:17" x14ac:dyDescent="0.25">
      <c r="A316" s="37">
        <v>2900</v>
      </c>
      <c r="B316" s="7" t="s">
        <v>26</v>
      </c>
      <c r="D316" s="90">
        <f t="shared" si="179"/>
        <v>8140</v>
      </c>
      <c r="E316"/>
      <c r="F316" s="83">
        <v>0</v>
      </c>
      <c r="G316" s="83">
        <v>0</v>
      </c>
      <c r="H316" s="83">
        <v>0</v>
      </c>
      <c r="I316">
        <f t="shared" ref="I316:I322" si="184">H316</f>
        <v>0</v>
      </c>
      <c r="J316">
        <v>1</v>
      </c>
      <c r="K316">
        <f t="shared" si="181"/>
        <v>1</v>
      </c>
      <c r="L316">
        <f t="shared" si="181"/>
        <v>1</v>
      </c>
      <c r="M316">
        <f t="shared" si="182"/>
        <v>1</v>
      </c>
      <c r="N316">
        <f t="shared" si="183"/>
        <v>1</v>
      </c>
      <c r="O316">
        <f t="shared" si="183"/>
        <v>1</v>
      </c>
      <c r="P316" s="36">
        <f t="shared" si="183"/>
        <v>1</v>
      </c>
      <c r="Q316" s="36">
        <f t="shared" si="183"/>
        <v>1</v>
      </c>
    </row>
    <row r="317" spans="1:17" x14ac:dyDescent="0.25">
      <c r="A317" s="37">
        <v>2900</v>
      </c>
      <c r="B317" s="7" t="s">
        <v>26</v>
      </c>
      <c r="D317" s="90">
        <f t="shared" si="179"/>
        <v>8140</v>
      </c>
      <c r="E317"/>
      <c r="F317" s="83">
        <v>0</v>
      </c>
      <c r="G317" s="83">
        <v>0</v>
      </c>
      <c r="H317" s="83">
        <v>0</v>
      </c>
      <c r="I317">
        <f t="shared" si="184"/>
        <v>0</v>
      </c>
      <c r="J317">
        <v>1</v>
      </c>
      <c r="K317">
        <f t="shared" si="181"/>
        <v>1</v>
      </c>
      <c r="L317">
        <f t="shared" si="181"/>
        <v>1</v>
      </c>
      <c r="M317">
        <f t="shared" si="182"/>
        <v>1</v>
      </c>
      <c r="N317">
        <f t="shared" si="183"/>
        <v>1</v>
      </c>
      <c r="O317">
        <f t="shared" si="183"/>
        <v>1</v>
      </c>
      <c r="P317" s="36">
        <f t="shared" si="183"/>
        <v>1</v>
      </c>
      <c r="Q317" s="36">
        <f t="shared" si="183"/>
        <v>1</v>
      </c>
    </row>
    <row r="318" spans="1:17" x14ac:dyDescent="0.25">
      <c r="A318" s="37">
        <v>2900</v>
      </c>
      <c r="B318" s="7" t="s">
        <v>26</v>
      </c>
      <c r="D318" s="90">
        <f t="shared" si="179"/>
        <v>8140</v>
      </c>
      <c r="E318"/>
      <c r="F318" s="83">
        <v>0</v>
      </c>
      <c r="G318" s="83">
        <v>0</v>
      </c>
      <c r="H318" s="83">
        <v>0</v>
      </c>
      <c r="I318">
        <f t="shared" si="184"/>
        <v>0</v>
      </c>
      <c r="J318">
        <f t="shared" si="180"/>
        <v>0</v>
      </c>
      <c r="K318">
        <v>1</v>
      </c>
      <c r="L318">
        <f t="shared" si="181"/>
        <v>1</v>
      </c>
      <c r="M318">
        <f t="shared" si="182"/>
        <v>1</v>
      </c>
      <c r="N318">
        <f t="shared" si="183"/>
        <v>1</v>
      </c>
      <c r="O318">
        <f t="shared" si="183"/>
        <v>1</v>
      </c>
      <c r="P318" s="36">
        <f t="shared" si="183"/>
        <v>1</v>
      </c>
      <c r="Q318" s="36">
        <f t="shared" si="183"/>
        <v>1</v>
      </c>
    </row>
    <row r="319" spans="1:17" x14ac:dyDescent="0.25">
      <c r="A319" s="37">
        <v>2900</v>
      </c>
      <c r="B319" s="7" t="s">
        <v>26</v>
      </c>
      <c r="D319" s="90">
        <f t="shared" si="179"/>
        <v>8140</v>
      </c>
      <c r="E319"/>
      <c r="F319" s="83">
        <v>0</v>
      </c>
      <c r="G319" s="83">
        <v>0</v>
      </c>
      <c r="H319" s="83">
        <v>0</v>
      </c>
      <c r="I319">
        <f t="shared" si="184"/>
        <v>0</v>
      </c>
      <c r="J319">
        <f t="shared" si="180"/>
        <v>0</v>
      </c>
      <c r="K319">
        <v>1</v>
      </c>
      <c r="L319">
        <f t="shared" si="181"/>
        <v>1</v>
      </c>
      <c r="M319">
        <f t="shared" si="182"/>
        <v>1</v>
      </c>
      <c r="N319">
        <f t="shared" si="183"/>
        <v>1</v>
      </c>
      <c r="O319">
        <f t="shared" si="183"/>
        <v>1</v>
      </c>
      <c r="P319" s="36">
        <f t="shared" si="183"/>
        <v>1</v>
      </c>
      <c r="Q319" s="36">
        <f t="shared" si="183"/>
        <v>1</v>
      </c>
    </row>
    <row r="320" spans="1:17" x14ac:dyDescent="0.25">
      <c r="A320" s="37">
        <v>2900</v>
      </c>
      <c r="B320" s="7" t="s">
        <v>26</v>
      </c>
      <c r="D320" s="90">
        <f t="shared" si="179"/>
        <v>8140</v>
      </c>
      <c r="E320"/>
      <c r="F320" s="83">
        <v>0</v>
      </c>
      <c r="G320" s="83">
        <v>0</v>
      </c>
      <c r="H320" s="83">
        <v>0</v>
      </c>
      <c r="I320">
        <f t="shared" si="184"/>
        <v>0</v>
      </c>
      <c r="J320">
        <f t="shared" si="180"/>
        <v>0</v>
      </c>
      <c r="K320">
        <f t="shared" si="181"/>
        <v>0</v>
      </c>
      <c r="L320">
        <v>1</v>
      </c>
      <c r="M320">
        <f t="shared" si="182"/>
        <v>1</v>
      </c>
      <c r="N320">
        <f t="shared" si="183"/>
        <v>1</v>
      </c>
      <c r="O320">
        <f t="shared" si="183"/>
        <v>1</v>
      </c>
      <c r="P320" s="36">
        <f t="shared" si="183"/>
        <v>1</v>
      </c>
      <c r="Q320" s="36">
        <f t="shared" si="183"/>
        <v>1</v>
      </c>
    </row>
    <row r="321" spans="1:17" x14ac:dyDescent="0.25">
      <c r="A321" s="37">
        <v>2900</v>
      </c>
      <c r="B321" s="7" t="s">
        <v>26</v>
      </c>
      <c r="D321" s="90">
        <f t="shared" si="179"/>
        <v>8140</v>
      </c>
      <c r="E321"/>
      <c r="F321" s="83">
        <v>0</v>
      </c>
      <c r="G321" s="83">
        <v>0</v>
      </c>
      <c r="H321" s="83">
        <v>0</v>
      </c>
      <c r="I321">
        <f t="shared" si="184"/>
        <v>0</v>
      </c>
      <c r="J321">
        <f t="shared" si="180"/>
        <v>0</v>
      </c>
      <c r="K321">
        <f t="shared" si="181"/>
        <v>0</v>
      </c>
      <c r="L321">
        <v>1</v>
      </c>
      <c r="M321">
        <f t="shared" si="182"/>
        <v>1</v>
      </c>
      <c r="N321">
        <f t="shared" si="183"/>
        <v>1</v>
      </c>
      <c r="O321">
        <f t="shared" si="183"/>
        <v>1</v>
      </c>
      <c r="P321" s="36">
        <f t="shared" si="183"/>
        <v>1</v>
      </c>
      <c r="Q321" s="36">
        <f t="shared" si="183"/>
        <v>1</v>
      </c>
    </row>
    <row r="322" spans="1:17" x14ac:dyDescent="0.25">
      <c r="A322" s="37">
        <v>2900</v>
      </c>
      <c r="B322" s="7" t="s">
        <v>26</v>
      </c>
      <c r="D322" s="90">
        <f t="shared" si="179"/>
        <v>8140</v>
      </c>
      <c r="E322"/>
      <c r="F322" s="83">
        <v>0</v>
      </c>
      <c r="G322" s="83">
        <v>0</v>
      </c>
      <c r="H322" s="83">
        <v>0</v>
      </c>
      <c r="I322">
        <f t="shared" si="184"/>
        <v>0</v>
      </c>
      <c r="J322">
        <f t="shared" si="180"/>
        <v>0</v>
      </c>
      <c r="K322">
        <f t="shared" si="181"/>
        <v>0</v>
      </c>
      <c r="L322">
        <f t="shared" si="181"/>
        <v>0</v>
      </c>
      <c r="M322">
        <v>1</v>
      </c>
      <c r="N322">
        <v>0</v>
      </c>
      <c r="O322">
        <v>0</v>
      </c>
      <c r="P322" s="36">
        <v>0</v>
      </c>
      <c r="Q322" s="36">
        <v>0</v>
      </c>
    </row>
    <row r="323" spans="1:17" x14ac:dyDescent="0.25">
      <c r="A323" s="37">
        <v>2900</v>
      </c>
      <c r="B323" s="7" t="s">
        <v>26</v>
      </c>
      <c r="D323" s="90">
        <f t="shared" ref="D323:D330" si="185">4*11*185</f>
        <v>8140</v>
      </c>
      <c r="E323"/>
      <c r="F323" s="83">
        <v>0</v>
      </c>
      <c r="G323" s="83">
        <v>0</v>
      </c>
      <c r="H323" s="83">
        <v>0</v>
      </c>
      <c r="I323">
        <f t="shared" ref="I323:I330" si="186">H323</f>
        <v>0</v>
      </c>
      <c r="J323">
        <f t="shared" ref="J323:J330" si="187">I323</f>
        <v>0</v>
      </c>
      <c r="K323">
        <f t="shared" ref="K323:K330" si="188">J323</f>
        <v>0</v>
      </c>
      <c r="L323">
        <f t="shared" ref="L323:L330" si="189">K323</f>
        <v>0</v>
      </c>
      <c r="M323">
        <v>0.5</v>
      </c>
      <c r="N323">
        <v>0</v>
      </c>
      <c r="O323">
        <v>0</v>
      </c>
      <c r="P323" s="36">
        <v>0</v>
      </c>
      <c r="Q323" s="36">
        <v>0</v>
      </c>
    </row>
    <row r="324" spans="1:17" x14ac:dyDescent="0.25">
      <c r="A324" s="37">
        <v>2900</v>
      </c>
      <c r="B324" s="7" t="s">
        <v>26</v>
      </c>
      <c r="D324" s="90">
        <f t="shared" si="185"/>
        <v>8140</v>
      </c>
      <c r="E324"/>
      <c r="F324" s="83">
        <v>0</v>
      </c>
      <c r="G324" s="83">
        <v>0</v>
      </c>
      <c r="H324" s="83">
        <v>0</v>
      </c>
      <c r="I324">
        <f t="shared" si="186"/>
        <v>0</v>
      </c>
      <c r="J324">
        <f t="shared" si="187"/>
        <v>0</v>
      </c>
      <c r="K324">
        <f t="shared" si="188"/>
        <v>0</v>
      </c>
      <c r="L324">
        <f t="shared" si="189"/>
        <v>0</v>
      </c>
      <c r="M324">
        <v>0</v>
      </c>
      <c r="N324">
        <v>0</v>
      </c>
      <c r="O324">
        <v>0</v>
      </c>
      <c r="P324" s="36">
        <v>0</v>
      </c>
      <c r="Q324" s="36">
        <v>0</v>
      </c>
    </row>
    <row r="325" spans="1:17" x14ac:dyDescent="0.25">
      <c r="A325" s="37">
        <v>2900</v>
      </c>
      <c r="B325" s="7" t="s">
        <v>26</v>
      </c>
      <c r="D325" s="90">
        <f t="shared" si="185"/>
        <v>8140</v>
      </c>
      <c r="E325"/>
      <c r="F325" s="83">
        <v>0</v>
      </c>
      <c r="G325" s="83">
        <v>0</v>
      </c>
      <c r="H325" s="83">
        <v>0</v>
      </c>
      <c r="I325">
        <f t="shared" si="186"/>
        <v>0</v>
      </c>
      <c r="J325">
        <f t="shared" si="187"/>
        <v>0</v>
      </c>
      <c r="K325">
        <f t="shared" si="188"/>
        <v>0</v>
      </c>
      <c r="L325">
        <f t="shared" si="189"/>
        <v>0</v>
      </c>
      <c r="M325">
        <v>0</v>
      </c>
      <c r="N325">
        <v>0</v>
      </c>
      <c r="O325">
        <f>N325</f>
        <v>0</v>
      </c>
      <c r="P325" s="36">
        <f>O325</f>
        <v>0</v>
      </c>
      <c r="Q325" s="36">
        <f>P325</f>
        <v>0</v>
      </c>
    </row>
    <row r="326" spans="1:17" x14ac:dyDescent="0.25">
      <c r="A326" s="37">
        <v>2900</v>
      </c>
      <c r="B326" s="7" t="s">
        <v>26</v>
      </c>
      <c r="D326" s="90">
        <f t="shared" si="185"/>
        <v>8140</v>
      </c>
      <c r="E326"/>
      <c r="F326" s="83">
        <v>0</v>
      </c>
      <c r="G326" s="83">
        <v>0</v>
      </c>
      <c r="H326" s="83">
        <v>0</v>
      </c>
      <c r="I326">
        <f t="shared" si="186"/>
        <v>0</v>
      </c>
      <c r="J326">
        <f t="shared" si="187"/>
        <v>0</v>
      </c>
      <c r="K326">
        <f t="shared" si="188"/>
        <v>0</v>
      </c>
      <c r="L326">
        <f t="shared" si="189"/>
        <v>0</v>
      </c>
      <c r="M326">
        <v>0</v>
      </c>
      <c r="N326">
        <v>0</v>
      </c>
      <c r="O326">
        <v>0</v>
      </c>
      <c r="P326" s="36">
        <v>0</v>
      </c>
      <c r="Q326" s="36">
        <v>0</v>
      </c>
    </row>
    <row r="327" spans="1:17" x14ac:dyDescent="0.25">
      <c r="A327" s="37">
        <v>2900</v>
      </c>
      <c r="B327" s="7" t="s">
        <v>26</v>
      </c>
      <c r="D327" s="90">
        <f t="shared" si="185"/>
        <v>8140</v>
      </c>
      <c r="E327"/>
      <c r="F327" s="83">
        <v>0</v>
      </c>
      <c r="G327" s="83">
        <v>0</v>
      </c>
      <c r="H327" s="83">
        <v>0</v>
      </c>
      <c r="I327">
        <f t="shared" si="186"/>
        <v>0</v>
      </c>
      <c r="J327">
        <f t="shared" si="187"/>
        <v>0</v>
      </c>
      <c r="K327">
        <f t="shared" si="188"/>
        <v>0</v>
      </c>
      <c r="L327">
        <f t="shared" si="189"/>
        <v>0</v>
      </c>
      <c r="M327">
        <v>0</v>
      </c>
      <c r="N327">
        <v>0</v>
      </c>
      <c r="O327">
        <v>0</v>
      </c>
      <c r="P327" s="36">
        <v>0</v>
      </c>
      <c r="Q327" s="36">
        <v>0</v>
      </c>
    </row>
    <row r="328" spans="1:17" x14ac:dyDescent="0.25">
      <c r="A328" s="37">
        <v>2900</v>
      </c>
      <c r="B328" s="7" t="s">
        <v>26</v>
      </c>
      <c r="D328" s="90">
        <f t="shared" si="185"/>
        <v>8140</v>
      </c>
      <c r="E328"/>
      <c r="F328" s="83">
        <v>0</v>
      </c>
      <c r="G328" s="83">
        <v>0</v>
      </c>
      <c r="H328" s="83">
        <v>0</v>
      </c>
      <c r="I328">
        <f t="shared" si="186"/>
        <v>0</v>
      </c>
      <c r="J328">
        <f t="shared" si="187"/>
        <v>0</v>
      </c>
      <c r="K328">
        <f t="shared" si="188"/>
        <v>0</v>
      </c>
      <c r="L328">
        <f t="shared" si="189"/>
        <v>0</v>
      </c>
      <c r="M328">
        <v>0</v>
      </c>
      <c r="N328">
        <v>0</v>
      </c>
      <c r="O328">
        <v>0</v>
      </c>
      <c r="P328" s="36">
        <v>0</v>
      </c>
      <c r="Q328" s="36">
        <v>0</v>
      </c>
    </row>
    <row r="329" spans="1:17" x14ac:dyDescent="0.25">
      <c r="A329" s="37">
        <v>2900</v>
      </c>
      <c r="B329" s="7" t="s">
        <v>26</v>
      </c>
      <c r="D329" s="90">
        <f t="shared" si="185"/>
        <v>8140</v>
      </c>
      <c r="E329"/>
      <c r="F329" s="83">
        <v>0</v>
      </c>
      <c r="G329" s="83">
        <v>0</v>
      </c>
      <c r="H329" s="83">
        <v>0</v>
      </c>
      <c r="I329">
        <f t="shared" si="186"/>
        <v>0</v>
      </c>
      <c r="J329">
        <f t="shared" si="187"/>
        <v>0</v>
      </c>
      <c r="K329">
        <f t="shared" si="188"/>
        <v>0</v>
      </c>
      <c r="L329">
        <f t="shared" si="189"/>
        <v>0</v>
      </c>
      <c r="M329">
        <v>0</v>
      </c>
      <c r="N329">
        <v>0</v>
      </c>
      <c r="O329">
        <v>0</v>
      </c>
      <c r="P329" s="36">
        <v>0</v>
      </c>
      <c r="Q329" s="36">
        <v>0</v>
      </c>
    </row>
    <row r="330" spans="1:17" x14ac:dyDescent="0.25">
      <c r="A330" s="37">
        <v>2900</v>
      </c>
      <c r="B330" s="7" t="s">
        <v>26</v>
      </c>
      <c r="D330" s="90">
        <f t="shared" si="185"/>
        <v>8140</v>
      </c>
      <c r="E330"/>
      <c r="F330" s="91">
        <v>0</v>
      </c>
      <c r="G330" s="91">
        <v>0</v>
      </c>
      <c r="H330" s="91">
        <v>0</v>
      </c>
      <c r="I330" s="42">
        <f t="shared" si="186"/>
        <v>0</v>
      </c>
      <c r="J330" s="42">
        <f t="shared" si="187"/>
        <v>0</v>
      </c>
      <c r="K330" s="42">
        <f t="shared" si="188"/>
        <v>0</v>
      </c>
      <c r="L330" s="42">
        <f t="shared" si="189"/>
        <v>0</v>
      </c>
      <c r="M330" s="42">
        <v>0</v>
      </c>
      <c r="N330" s="42">
        <v>0</v>
      </c>
      <c r="O330" s="42">
        <v>0</v>
      </c>
      <c r="P330" s="63">
        <v>0</v>
      </c>
      <c r="Q330" s="63">
        <v>0</v>
      </c>
    </row>
    <row r="331" spans="1:17" s="36" customFormat="1" x14ac:dyDescent="0.25">
      <c r="A331" s="111"/>
      <c r="D331" s="117" t="s">
        <v>11</v>
      </c>
      <c r="F331" s="36" t="e">
        <f t="shared" ref="F331:Q331" si="190">SUM(F207:F330)</f>
        <v>#REF!</v>
      </c>
      <c r="G331" s="36" t="e">
        <f t="shared" si="190"/>
        <v>#REF!</v>
      </c>
      <c r="H331" s="36" t="e">
        <f t="shared" si="190"/>
        <v>#REF!</v>
      </c>
      <c r="I331" s="36" t="e">
        <f t="shared" si="190"/>
        <v>#REF!</v>
      </c>
      <c r="J331" s="36" t="e">
        <f t="shared" si="190"/>
        <v>#REF!</v>
      </c>
      <c r="K331" s="36" t="e">
        <f t="shared" si="190"/>
        <v>#REF!</v>
      </c>
      <c r="L331" s="36" t="e">
        <f t="shared" si="190"/>
        <v>#REF!</v>
      </c>
      <c r="M331" s="36" t="e">
        <f t="shared" si="190"/>
        <v>#REF!</v>
      </c>
      <c r="N331" s="36" t="e">
        <f t="shared" si="190"/>
        <v>#REF!</v>
      </c>
      <c r="O331" s="36" t="e">
        <f t="shared" si="190"/>
        <v>#REF!</v>
      </c>
      <c r="P331" s="36" t="e">
        <f t="shared" si="190"/>
        <v>#REF!</v>
      </c>
      <c r="Q331" s="36" t="e">
        <f t="shared" si="190"/>
        <v>#REF!</v>
      </c>
    </row>
    <row r="332" spans="1:17" x14ac:dyDescent="0.25">
      <c r="E332"/>
      <c r="F332" s="44"/>
    </row>
    <row r="333" spans="1:17" x14ac:dyDescent="0.25">
      <c r="A333" s="114" t="s">
        <v>252</v>
      </c>
      <c r="D333" s="31"/>
      <c r="E333"/>
      <c r="F333" s="3" t="s">
        <v>0</v>
      </c>
      <c r="G333" s="21" t="s">
        <v>1</v>
      </c>
      <c r="H333" s="22" t="s">
        <v>2</v>
      </c>
      <c r="I333" s="3" t="s">
        <v>3</v>
      </c>
      <c r="J333" s="3" t="s">
        <v>4</v>
      </c>
      <c r="K333" s="4" t="s">
        <v>5</v>
      </c>
      <c r="L333" s="70" t="s">
        <v>61</v>
      </c>
      <c r="M333" s="70" t="s">
        <v>62</v>
      </c>
      <c r="N333" s="70" t="s">
        <v>63</v>
      </c>
      <c r="O333" s="70" t="s">
        <v>64</v>
      </c>
      <c r="P333" s="70" t="s">
        <v>65</v>
      </c>
      <c r="Q333" s="70" t="s">
        <v>66</v>
      </c>
    </row>
    <row r="334" spans="1:17" s="36" customFormat="1" x14ac:dyDescent="0.25">
      <c r="A334" s="111">
        <f t="shared" ref="A334:B353" si="191">A206</f>
        <v>1300</v>
      </c>
      <c r="B334" s="111" t="str">
        <f t="shared" si="191"/>
        <v>DCI - Elementary</v>
      </c>
      <c r="D334" s="111">
        <f t="shared" ref="D334:D365" si="192">D206</f>
        <v>75000</v>
      </c>
      <c r="E334" s="111"/>
      <c r="F334" s="115" t="e">
        <f t="shared" ref="F334:Q334" si="193">$D334*(1+E$5)*F206</f>
        <v>#REF!</v>
      </c>
      <c r="G334" s="115" t="e">
        <f t="shared" si="193"/>
        <v>#REF!</v>
      </c>
      <c r="H334" s="115" t="e">
        <f t="shared" si="193"/>
        <v>#REF!</v>
      </c>
      <c r="I334" s="115" t="e">
        <f t="shared" si="193"/>
        <v>#REF!</v>
      </c>
      <c r="J334" s="115" t="e">
        <f t="shared" si="193"/>
        <v>#REF!</v>
      </c>
      <c r="K334" s="115" t="e">
        <f t="shared" si="193"/>
        <v>#REF!</v>
      </c>
      <c r="L334" s="115" t="e">
        <f t="shared" si="193"/>
        <v>#REF!</v>
      </c>
      <c r="M334" s="115" t="e">
        <f t="shared" si="193"/>
        <v>#REF!</v>
      </c>
      <c r="N334" s="115" t="e">
        <f t="shared" si="193"/>
        <v>#REF!</v>
      </c>
      <c r="O334" s="115" t="e">
        <f t="shared" si="193"/>
        <v>#REF!</v>
      </c>
      <c r="P334" s="115" t="e">
        <f t="shared" si="193"/>
        <v>#REF!</v>
      </c>
      <c r="Q334" s="115" t="e">
        <f t="shared" si="193"/>
        <v>#REF!</v>
      </c>
    </row>
    <row r="335" spans="1:17" s="36" customFormat="1" x14ac:dyDescent="0.25">
      <c r="A335" s="111">
        <f t="shared" si="191"/>
        <v>1300</v>
      </c>
      <c r="B335" s="111" t="str">
        <f t="shared" si="191"/>
        <v>DCI - Middle</v>
      </c>
      <c r="D335" s="111">
        <f t="shared" si="192"/>
        <v>75000</v>
      </c>
      <c r="F335" s="115">
        <f t="shared" ref="F335:Q335" si="194">$D335*(1+E$5)*F207</f>
        <v>0</v>
      </c>
      <c r="G335" s="115">
        <f t="shared" si="194"/>
        <v>0</v>
      </c>
      <c r="H335" s="115">
        <f t="shared" si="194"/>
        <v>0</v>
      </c>
      <c r="I335" s="115">
        <f t="shared" si="194"/>
        <v>0</v>
      </c>
      <c r="J335" s="115">
        <f t="shared" si="194"/>
        <v>0</v>
      </c>
      <c r="K335" s="115">
        <f t="shared" si="194"/>
        <v>0</v>
      </c>
      <c r="L335" s="115">
        <f t="shared" si="194"/>
        <v>0</v>
      </c>
      <c r="M335" s="115">
        <f t="shared" si="194"/>
        <v>0</v>
      </c>
      <c r="N335" s="115">
        <f t="shared" si="194"/>
        <v>0</v>
      </c>
      <c r="O335" s="115">
        <f t="shared" si="194"/>
        <v>0</v>
      </c>
      <c r="P335" s="115">
        <f t="shared" si="194"/>
        <v>0</v>
      </c>
      <c r="Q335" s="115">
        <f t="shared" si="194"/>
        <v>0</v>
      </c>
    </row>
    <row r="336" spans="1:17" s="36" customFormat="1" x14ac:dyDescent="0.25">
      <c r="A336" s="111">
        <f t="shared" si="191"/>
        <v>1300</v>
      </c>
      <c r="B336" s="111" t="str">
        <f t="shared" si="191"/>
        <v xml:space="preserve">DCI - High </v>
      </c>
      <c r="D336" s="111">
        <f t="shared" si="192"/>
        <v>75000</v>
      </c>
      <c r="F336" s="115">
        <f t="shared" ref="F336:Q336" si="195">$D336*(1+E$5)*F208</f>
        <v>0</v>
      </c>
      <c r="G336" s="115">
        <f t="shared" si="195"/>
        <v>0</v>
      </c>
      <c r="H336" s="115">
        <f t="shared" si="195"/>
        <v>0</v>
      </c>
      <c r="I336" s="115">
        <f t="shared" si="195"/>
        <v>0</v>
      </c>
      <c r="J336" s="115">
        <f t="shared" si="195"/>
        <v>0</v>
      </c>
      <c r="K336" s="115">
        <f t="shared" si="195"/>
        <v>0</v>
      </c>
      <c r="L336" s="115">
        <f t="shared" si="195"/>
        <v>0</v>
      </c>
      <c r="M336" s="115">
        <f t="shared" si="195"/>
        <v>0</v>
      </c>
      <c r="N336" s="115">
        <f t="shared" si="195"/>
        <v>0</v>
      </c>
      <c r="O336" s="115">
        <f t="shared" si="195"/>
        <v>0</v>
      </c>
      <c r="P336" s="115">
        <f t="shared" si="195"/>
        <v>0</v>
      </c>
      <c r="Q336" s="115">
        <f t="shared" si="195"/>
        <v>0</v>
      </c>
    </row>
    <row r="337" spans="1:17" s="36" customFormat="1" x14ac:dyDescent="0.25">
      <c r="A337" s="111">
        <f t="shared" si="191"/>
        <v>2300</v>
      </c>
      <c r="B337" s="111" t="str">
        <f t="shared" si="191"/>
        <v>Dean of Culture - Elementary</v>
      </c>
      <c r="D337" s="111">
        <f t="shared" si="192"/>
        <v>60000</v>
      </c>
      <c r="F337" s="115" t="e">
        <f t="shared" ref="F337:Q337" si="196">$D337*(1+E$5)*F209</f>
        <v>#REF!</v>
      </c>
      <c r="G337" s="115" t="e">
        <f t="shared" si="196"/>
        <v>#REF!</v>
      </c>
      <c r="H337" s="115" t="e">
        <f t="shared" si="196"/>
        <v>#REF!</v>
      </c>
      <c r="I337" s="115" t="e">
        <f t="shared" si="196"/>
        <v>#REF!</v>
      </c>
      <c r="J337" s="115" t="e">
        <f t="shared" si="196"/>
        <v>#REF!</v>
      </c>
      <c r="K337" s="115" t="e">
        <f t="shared" si="196"/>
        <v>#REF!</v>
      </c>
      <c r="L337" s="115" t="e">
        <f t="shared" si="196"/>
        <v>#REF!</v>
      </c>
      <c r="M337" s="115" t="e">
        <f t="shared" si="196"/>
        <v>#REF!</v>
      </c>
      <c r="N337" s="115" t="e">
        <f t="shared" si="196"/>
        <v>#REF!</v>
      </c>
      <c r="O337" s="115" t="e">
        <f t="shared" si="196"/>
        <v>#REF!</v>
      </c>
      <c r="P337" s="115" t="e">
        <f t="shared" si="196"/>
        <v>#REF!</v>
      </c>
      <c r="Q337" s="115" t="e">
        <f t="shared" si="196"/>
        <v>#REF!</v>
      </c>
    </row>
    <row r="338" spans="1:17" s="36" customFormat="1" x14ac:dyDescent="0.25">
      <c r="A338" s="111">
        <f t="shared" si="191"/>
        <v>2300</v>
      </c>
      <c r="B338" s="111" t="str">
        <f t="shared" si="191"/>
        <v>Dean of Culture - Middle</v>
      </c>
      <c r="D338" s="111">
        <f t="shared" si="192"/>
        <v>60000</v>
      </c>
      <c r="F338" s="115">
        <f t="shared" ref="F338:Q338" si="197">$D338*(1+E$5)*F210</f>
        <v>0</v>
      </c>
      <c r="G338" s="115">
        <f t="shared" si="197"/>
        <v>0</v>
      </c>
      <c r="H338" s="115">
        <f t="shared" si="197"/>
        <v>0</v>
      </c>
      <c r="I338" s="115">
        <f t="shared" si="197"/>
        <v>0</v>
      </c>
      <c r="J338" s="115">
        <f t="shared" si="197"/>
        <v>0</v>
      </c>
      <c r="K338" s="115">
        <f t="shared" si="197"/>
        <v>0</v>
      </c>
      <c r="L338" s="115">
        <f t="shared" si="197"/>
        <v>0</v>
      </c>
      <c r="M338" s="115">
        <f t="shared" si="197"/>
        <v>0</v>
      </c>
      <c r="N338" s="115">
        <f t="shared" si="197"/>
        <v>0</v>
      </c>
      <c r="O338" s="115">
        <f t="shared" si="197"/>
        <v>0</v>
      </c>
      <c r="P338" s="115">
        <f t="shared" si="197"/>
        <v>0</v>
      </c>
      <c r="Q338" s="115">
        <f t="shared" si="197"/>
        <v>0</v>
      </c>
    </row>
    <row r="339" spans="1:17" s="36" customFormat="1" x14ac:dyDescent="0.25">
      <c r="A339" s="111">
        <f t="shared" si="191"/>
        <v>2300</v>
      </c>
      <c r="B339" s="111" t="str">
        <f t="shared" si="191"/>
        <v>Dean of Culture - High</v>
      </c>
      <c r="D339" s="111">
        <f t="shared" si="192"/>
        <v>60000</v>
      </c>
      <c r="F339" s="115">
        <f t="shared" ref="F339:Q339" si="198">$D339*(1+E$5)*F211</f>
        <v>0</v>
      </c>
      <c r="G339" s="115">
        <f t="shared" si="198"/>
        <v>0</v>
      </c>
      <c r="H339" s="115">
        <f t="shared" si="198"/>
        <v>0</v>
      </c>
      <c r="I339" s="115">
        <f t="shared" si="198"/>
        <v>0</v>
      </c>
      <c r="J339" s="115">
        <f t="shared" si="198"/>
        <v>0</v>
      </c>
      <c r="K339" s="115">
        <f t="shared" si="198"/>
        <v>0</v>
      </c>
      <c r="L339" s="115">
        <f t="shared" si="198"/>
        <v>0</v>
      </c>
      <c r="M339" s="115">
        <f t="shared" si="198"/>
        <v>0</v>
      </c>
      <c r="N339" s="115">
        <f t="shared" si="198"/>
        <v>0</v>
      </c>
      <c r="O339" s="115">
        <f t="shared" si="198"/>
        <v>0</v>
      </c>
      <c r="P339" s="115">
        <f t="shared" si="198"/>
        <v>0</v>
      </c>
      <c r="Q339" s="115">
        <f t="shared" si="198"/>
        <v>0</v>
      </c>
    </row>
    <row r="340" spans="1:17" s="36" customFormat="1" x14ac:dyDescent="0.25">
      <c r="A340" s="111">
        <f t="shared" si="191"/>
        <v>2400</v>
      </c>
      <c r="B340" s="111" t="str">
        <f t="shared" si="191"/>
        <v>Parent Coordinator - Elementary</v>
      </c>
      <c r="D340" s="111">
        <f t="shared" si="192"/>
        <v>35000</v>
      </c>
      <c r="F340" s="115" t="e">
        <f t="shared" ref="F340:Q340" si="199">$D340*(1+E$5)*F212</f>
        <v>#REF!</v>
      </c>
      <c r="G340" s="115" t="e">
        <f t="shared" si="199"/>
        <v>#REF!</v>
      </c>
      <c r="H340" s="115" t="e">
        <f t="shared" si="199"/>
        <v>#REF!</v>
      </c>
      <c r="I340" s="115" t="e">
        <f t="shared" si="199"/>
        <v>#REF!</v>
      </c>
      <c r="J340" s="115" t="e">
        <f t="shared" si="199"/>
        <v>#REF!</v>
      </c>
      <c r="K340" s="115" t="e">
        <f t="shared" si="199"/>
        <v>#REF!</v>
      </c>
      <c r="L340" s="115" t="e">
        <f t="shared" si="199"/>
        <v>#REF!</v>
      </c>
      <c r="M340" s="115" t="e">
        <f t="shared" si="199"/>
        <v>#REF!</v>
      </c>
      <c r="N340" s="115" t="e">
        <f t="shared" si="199"/>
        <v>#REF!</v>
      </c>
      <c r="O340" s="115" t="e">
        <f t="shared" si="199"/>
        <v>#REF!</v>
      </c>
      <c r="P340" s="115" t="e">
        <f t="shared" si="199"/>
        <v>#REF!</v>
      </c>
      <c r="Q340" s="115" t="e">
        <f t="shared" si="199"/>
        <v>#REF!</v>
      </c>
    </row>
    <row r="341" spans="1:17" s="36" customFormat="1" x14ac:dyDescent="0.25">
      <c r="A341" s="111">
        <f t="shared" si="191"/>
        <v>2400</v>
      </c>
      <c r="B341" s="111" t="str">
        <f t="shared" si="191"/>
        <v xml:space="preserve">Parent Coordinator - Middle </v>
      </c>
      <c r="D341" s="111">
        <f t="shared" si="192"/>
        <v>35000</v>
      </c>
      <c r="F341" s="115">
        <f t="shared" ref="F341:Q341" si="200">$D341*(1+E$5)*F213</f>
        <v>0</v>
      </c>
      <c r="G341" s="115">
        <f t="shared" si="200"/>
        <v>0</v>
      </c>
      <c r="H341" s="115">
        <f t="shared" si="200"/>
        <v>0</v>
      </c>
      <c r="I341" s="115">
        <f t="shared" si="200"/>
        <v>0</v>
      </c>
      <c r="J341" s="115">
        <f t="shared" si="200"/>
        <v>0</v>
      </c>
      <c r="K341" s="115">
        <f t="shared" si="200"/>
        <v>0</v>
      </c>
      <c r="L341" s="115">
        <f t="shared" si="200"/>
        <v>0</v>
      </c>
      <c r="M341" s="115">
        <f t="shared" si="200"/>
        <v>0</v>
      </c>
      <c r="N341" s="115">
        <f t="shared" si="200"/>
        <v>0</v>
      </c>
      <c r="O341" s="115">
        <f t="shared" si="200"/>
        <v>0</v>
      </c>
      <c r="P341" s="115">
        <f t="shared" si="200"/>
        <v>0</v>
      </c>
      <c r="Q341" s="115">
        <f t="shared" si="200"/>
        <v>0</v>
      </c>
    </row>
    <row r="342" spans="1:17" s="36" customFormat="1" x14ac:dyDescent="0.25">
      <c r="A342" s="111">
        <f t="shared" si="191"/>
        <v>2400</v>
      </c>
      <c r="B342" s="111" t="str">
        <f t="shared" si="191"/>
        <v>Parent Coordinator - High</v>
      </c>
      <c r="D342" s="111">
        <f t="shared" si="192"/>
        <v>35000</v>
      </c>
      <c r="F342" s="115">
        <f t="shared" ref="F342:Q342" si="201">$D342*(1+E$5)*F214</f>
        <v>0</v>
      </c>
      <c r="G342" s="115">
        <f t="shared" si="201"/>
        <v>0</v>
      </c>
      <c r="H342" s="115">
        <f t="shared" si="201"/>
        <v>0</v>
      </c>
      <c r="I342" s="115">
        <f t="shared" si="201"/>
        <v>0</v>
      </c>
      <c r="J342" s="115">
        <f t="shared" si="201"/>
        <v>0</v>
      </c>
      <c r="K342" s="115">
        <f t="shared" si="201"/>
        <v>0</v>
      </c>
      <c r="L342" s="115">
        <f t="shared" si="201"/>
        <v>0</v>
      </c>
      <c r="M342" s="115">
        <f t="shared" si="201"/>
        <v>0</v>
      </c>
      <c r="N342" s="115">
        <f t="shared" si="201"/>
        <v>0</v>
      </c>
      <c r="O342" s="115">
        <f t="shared" si="201"/>
        <v>0</v>
      </c>
      <c r="P342" s="115">
        <f t="shared" si="201"/>
        <v>0</v>
      </c>
      <c r="Q342" s="115">
        <f t="shared" si="201"/>
        <v>0</v>
      </c>
    </row>
    <row r="343" spans="1:17" s="36" customFormat="1" x14ac:dyDescent="0.25">
      <c r="A343" s="111">
        <f t="shared" si="191"/>
        <v>2400</v>
      </c>
      <c r="B343" s="111" t="str">
        <f t="shared" si="191"/>
        <v xml:space="preserve">Office Manager - Elementary </v>
      </c>
      <c r="D343" s="111">
        <f t="shared" si="192"/>
        <v>45000</v>
      </c>
      <c r="F343" s="115" t="e">
        <f t="shared" ref="F343:Q343" si="202">$D343*(1+E$5)*F215</f>
        <v>#REF!</v>
      </c>
      <c r="G343" s="115" t="e">
        <f t="shared" si="202"/>
        <v>#REF!</v>
      </c>
      <c r="H343" s="115" t="e">
        <f t="shared" si="202"/>
        <v>#REF!</v>
      </c>
      <c r="I343" s="115" t="e">
        <f t="shared" si="202"/>
        <v>#REF!</v>
      </c>
      <c r="J343" s="115" t="e">
        <f t="shared" si="202"/>
        <v>#REF!</v>
      </c>
      <c r="K343" s="115" t="e">
        <f t="shared" si="202"/>
        <v>#REF!</v>
      </c>
      <c r="L343" s="115" t="e">
        <f t="shared" si="202"/>
        <v>#REF!</v>
      </c>
      <c r="M343" s="115" t="e">
        <f t="shared" si="202"/>
        <v>#REF!</v>
      </c>
      <c r="N343" s="115" t="e">
        <f t="shared" si="202"/>
        <v>#REF!</v>
      </c>
      <c r="O343" s="115" t="e">
        <f t="shared" si="202"/>
        <v>#REF!</v>
      </c>
      <c r="P343" s="115" t="e">
        <f t="shared" si="202"/>
        <v>#REF!</v>
      </c>
      <c r="Q343" s="115" t="e">
        <f t="shared" si="202"/>
        <v>#REF!</v>
      </c>
    </row>
    <row r="344" spans="1:17" s="36" customFormat="1" x14ac:dyDescent="0.25">
      <c r="A344" s="111">
        <f t="shared" si="191"/>
        <v>2400</v>
      </c>
      <c r="B344" s="111" t="str">
        <f t="shared" si="191"/>
        <v>Office Manager - Middle</v>
      </c>
      <c r="D344" s="111">
        <f t="shared" si="192"/>
        <v>45000</v>
      </c>
      <c r="F344" s="115">
        <f t="shared" ref="F344:Q344" si="203">$D344*(1+E$5)*F216</f>
        <v>0</v>
      </c>
      <c r="G344" s="115">
        <f t="shared" si="203"/>
        <v>0</v>
      </c>
      <c r="H344" s="115">
        <f t="shared" si="203"/>
        <v>0</v>
      </c>
      <c r="I344" s="115">
        <f t="shared" si="203"/>
        <v>0</v>
      </c>
      <c r="J344" s="115">
        <f t="shared" si="203"/>
        <v>0</v>
      </c>
      <c r="K344" s="115">
        <f t="shared" si="203"/>
        <v>0</v>
      </c>
      <c r="L344" s="115">
        <f t="shared" si="203"/>
        <v>0</v>
      </c>
      <c r="M344" s="115">
        <f t="shared" si="203"/>
        <v>0</v>
      </c>
      <c r="N344" s="115">
        <f t="shared" si="203"/>
        <v>0</v>
      </c>
      <c r="O344" s="115">
        <f t="shared" si="203"/>
        <v>0</v>
      </c>
      <c r="P344" s="115">
        <f t="shared" si="203"/>
        <v>0</v>
      </c>
      <c r="Q344" s="115">
        <f t="shared" si="203"/>
        <v>0</v>
      </c>
    </row>
    <row r="345" spans="1:17" s="36" customFormat="1" x14ac:dyDescent="0.25">
      <c r="A345" s="111">
        <f t="shared" si="191"/>
        <v>2400</v>
      </c>
      <c r="B345" s="111" t="str">
        <f t="shared" si="191"/>
        <v>Office Manager - High</v>
      </c>
      <c r="D345" s="111">
        <f t="shared" si="192"/>
        <v>45000</v>
      </c>
      <c r="F345" s="115">
        <f t="shared" ref="F345:Q345" si="204">$D345*(1+E$5)*F217</f>
        <v>0</v>
      </c>
      <c r="G345" s="115">
        <f t="shared" si="204"/>
        <v>0</v>
      </c>
      <c r="H345" s="115">
        <f t="shared" si="204"/>
        <v>0</v>
      </c>
      <c r="I345" s="115">
        <f t="shared" si="204"/>
        <v>0</v>
      </c>
      <c r="J345" s="115">
        <f t="shared" si="204"/>
        <v>0</v>
      </c>
      <c r="K345" s="115">
        <f t="shared" si="204"/>
        <v>0</v>
      </c>
      <c r="L345" s="115">
        <f t="shared" si="204"/>
        <v>0</v>
      </c>
      <c r="M345" s="115">
        <f t="shared" si="204"/>
        <v>0</v>
      </c>
      <c r="N345" s="115">
        <f t="shared" si="204"/>
        <v>0</v>
      </c>
      <c r="O345" s="115">
        <f t="shared" si="204"/>
        <v>0</v>
      </c>
      <c r="P345" s="115">
        <f t="shared" si="204"/>
        <v>0</v>
      </c>
      <c r="Q345" s="115">
        <f t="shared" si="204"/>
        <v>0</v>
      </c>
    </row>
    <row r="346" spans="1:17" s="36" customFormat="1" x14ac:dyDescent="0.25">
      <c r="A346" s="111">
        <f t="shared" si="191"/>
        <v>2400</v>
      </c>
      <c r="B346" s="111" t="str">
        <f t="shared" si="191"/>
        <v xml:space="preserve">Operations Manager - Elementary </v>
      </c>
      <c r="D346" s="111">
        <f t="shared" si="192"/>
        <v>60000</v>
      </c>
      <c r="F346" s="115" t="e">
        <f t="shared" ref="F346:Q346" si="205">$D346*(1+E$5)*F218</f>
        <v>#REF!</v>
      </c>
      <c r="G346" s="115" t="e">
        <f t="shared" si="205"/>
        <v>#REF!</v>
      </c>
      <c r="H346" s="115" t="e">
        <f t="shared" si="205"/>
        <v>#REF!</v>
      </c>
      <c r="I346" s="115" t="e">
        <f t="shared" si="205"/>
        <v>#REF!</v>
      </c>
      <c r="J346" s="115" t="e">
        <f t="shared" si="205"/>
        <v>#REF!</v>
      </c>
      <c r="K346" s="115" t="e">
        <f t="shared" si="205"/>
        <v>#REF!</v>
      </c>
      <c r="L346" s="115" t="e">
        <f t="shared" si="205"/>
        <v>#REF!</v>
      </c>
      <c r="M346" s="115" t="e">
        <f t="shared" si="205"/>
        <v>#REF!</v>
      </c>
      <c r="N346" s="115" t="e">
        <f t="shared" si="205"/>
        <v>#REF!</v>
      </c>
      <c r="O346" s="115" t="e">
        <f t="shared" si="205"/>
        <v>#REF!</v>
      </c>
      <c r="P346" s="115" t="e">
        <f t="shared" si="205"/>
        <v>#REF!</v>
      </c>
      <c r="Q346" s="115" t="e">
        <f t="shared" si="205"/>
        <v>#REF!</v>
      </c>
    </row>
    <row r="347" spans="1:17" s="36" customFormat="1" x14ac:dyDescent="0.25">
      <c r="A347" s="111">
        <f t="shared" si="191"/>
        <v>2400</v>
      </c>
      <c r="B347" s="111" t="str">
        <f t="shared" si="191"/>
        <v>Operations Manager - Middle</v>
      </c>
      <c r="D347" s="111">
        <f t="shared" si="192"/>
        <v>60000</v>
      </c>
      <c r="F347" s="115">
        <f t="shared" ref="F347:Q347" si="206">$D347*(1+E$5)*F219</f>
        <v>0</v>
      </c>
      <c r="G347" s="115">
        <f t="shared" si="206"/>
        <v>0</v>
      </c>
      <c r="H347" s="115">
        <f t="shared" si="206"/>
        <v>0</v>
      </c>
      <c r="I347" s="115">
        <f t="shared" si="206"/>
        <v>0</v>
      </c>
      <c r="J347" s="115">
        <f t="shared" si="206"/>
        <v>0</v>
      </c>
      <c r="K347" s="115">
        <f t="shared" si="206"/>
        <v>0</v>
      </c>
      <c r="L347" s="115">
        <f t="shared" si="206"/>
        <v>0</v>
      </c>
      <c r="M347" s="115">
        <f t="shared" si="206"/>
        <v>0</v>
      </c>
      <c r="N347" s="115">
        <f t="shared" si="206"/>
        <v>0</v>
      </c>
      <c r="O347" s="115">
        <f t="shared" si="206"/>
        <v>0</v>
      </c>
      <c r="P347" s="115">
        <f t="shared" si="206"/>
        <v>0</v>
      </c>
      <c r="Q347" s="115">
        <f t="shared" si="206"/>
        <v>0</v>
      </c>
    </row>
    <row r="348" spans="1:17" s="36" customFormat="1" x14ac:dyDescent="0.25">
      <c r="A348" s="111">
        <f t="shared" si="191"/>
        <v>2400</v>
      </c>
      <c r="B348" s="111" t="str">
        <f t="shared" si="191"/>
        <v>Operations Manager - High</v>
      </c>
      <c r="D348" s="111">
        <f t="shared" si="192"/>
        <v>60000</v>
      </c>
      <c r="F348" s="115">
        <f t="shared" ref="F348:Q348" si="207">$D348*(1+E$5)*F220</f>
        <v>0</v>
      </c>
      <c r="G348" s="115">
        <f t="shared" si="207"/>
        <v>0</v>
      </c>
      <c r="H348" s="115">
        <f t="shared" si="207"/>
        <v>0</v>
      </c>
      <c r="I348" s="115">
        <f t="shared" si="207"/>
        <v>0</v>
      </c>
      <c r="J348" s="115">
        <f t="shared" si="207"/>
        <v>0</v>
      </c>
      <c r="K348" s="115">
        <f t="shared" si="207"/>
        <v>0</v>
      </c>
      <c r="L348" s="115">
        <f t="shared" si="207"/>
        <v>0</v>
      </c>
      <c r="M348" s="115">
        <f t="shared" si="207"/>
        <v>0</v>
      </c>
      <c r="N348" s="115">
        <f t="shared" si="207"/>
        <v>0</v>
      </c>
      <c r="O348" s="115">
        <f t="shared" si="207"/>
        <v>0</v>
      </c>
      <c r="P348" s="115">
        <f t="shared" si="207"/>
        <v>0</v>
      </c>
      <c r="Q348" s="115">
        <f t="shared" si="207"/>
        <v>0</v>
      </c>
    </row>
    <row r="349" spans="1:17" s="36" customFormat="1" x14ac:dyDescent="0.25">
      <c r="A349" s="111">
        <f t="shared" si="191"/>
        <v>2400</v>
      </c>
      <c r="B349" s="111" t="str">
        <f t="shared" si="191"/>
        <v>Administrative Assistant - Elementary</v>
      </c>
      <c r="D349" s="111">
        <f t="shared" si="192"/>
        <v>25000</v>
      </c>
      <c r="F349" s="115" t="e">
        <f t="shared" ref="F349:Q349" si="208">$D349*(1+E$5)*F221</f>
        <v>#REF!</v>
      </c>
      <c r="G349" s="115" t="e">
        <f t="shared" si="208"/>
        <v>#REF!</v>
      </c>
      <c r="H349" s="115" t="e">
        <f t="shared" si="208"/>
        <v>#REF!</v>
      </c>
      <c r="I349" s="115" t="e">
        <f t="shared" si="208"/>
        <v>#REF!</v>
      </c>
      <c r="J349" s="115" t="e">
        <f t="shared" si="208"/>
        <v>#REF!</v>
      </c>
      <c r="K349" s="115" t="e">
        <f t="shared" si="208"/>
        <v>#REF!</v>
      </c>
      <c r="L349" s="115" t="e">
        <f t="shared" si="208"/>
        <v>#REF!</v>
      </c>
      <c r="M349" s="115" t="e">
        <f t="shared" si="208"/>
        <v>#REF!</v>
      </c>
      <c r="N349" s="115" t="e">
        <f t="shared" si="208"/>
        <v>#REF!</v>
      </c>
      <c r="O349" s="115" t="e">
        <f t="shared" si="208"/>
        <v>#REF!</v>
      </c>
      <c r="P349" s="115" t="e">
        <f t="shared" si="208"/>
        <v>#REF!</v>
      </c>
      <c r="Q349" s="115" t="e">
        <f t="shared" si="208"/>
        <v>#REF!</v>
      </c>
    </row>
    <row r="350" spans="1:17" s="36" customFormat="1" x14ac:dyDescent="0.25">
      <c r="A350" s="111">
        <f t="shared" si="191"/>
        <v>2400</v>
      </c>
      <c r="B350" s="111" t="str">
        <f t="shared" si="191"/>
        <v>Administrative Assistant - Middle</v>
      </c>
      <c r="D350" s="111">
        <f t="shared" si="192"/>
        <v>25000</v>
      </c>
      <c r="F350" s="115">
        <f t="shared" ref="F350:Q350" si="209">$D350*(1+E$5)*F222</f>
        <v>0</v>
      </c>
      <c r="G350" s="115">
        <f t="shared" si="209"/>
        <v>0</v>
      </c>
      <c r="H350" s="115">
        <f t="shared" si="209"/>
        <v>0</v>
      </c>
      <c r="I350" s="115">
        <f t="shared" si="209"/>
        <v>0</v>
      </c>
      <c r="J350" s="115">
        <f t="shared" si="209"/>
        <v>0</v>
      </c>
      <c r="K350" s="115">
        <f t="shared" si="209"/>
        <v>0</v>
      </c>
      <c r="L350" s="115">
        <f t="shared" si="209"/>
        <v>0</v>
      </c>
      <c r="M350" s="115">
        <f t="shared" si="209"/>
        <v>0</v>
      </c>
      <c r="N350" s="115">
        <f t="shared" si="209"/>
        <v>0</v>
      </c>
      <c r="O350" s="115">
        <f t="shared" si="209"/>
        <v>0</v>
      </c>
      <c r="P350" s="115">
        <f t="shared" si="209"/>
        <v>0</v>
      </c>
      <c r="Q350" s="115">
        <f t="shared" si="209"/>
        <v>0</v>
      </c>
    </row>
    <row r="351" spans="1:17" s="36" customFormat="1" x14ac:dyDescent="0.25">
      <c r="A351" s="111">
        <f t="shared" si="191"/>
        <v>2400</v>
      </c>
      <c r="B351" s="111" t="str">
        <f t="shared" si="191"/>
        <v>Administrative Assistant - High School</v>
      </c>
      <c r="D351" s="111">
        <f t="shared" si="192"/>
        <v>25000</v>
      </c>
      <c r="F351" s="115">
        <f t="shared" ref="F351:Q351" si="210">$D351*(1+E$5)*F223</f>
        <v>0</v>
      </c>
      <c r="G351" s="115">
        <f t="shared" si="210"/>
        <v>0</v>
      </c>
      <c r="H351" s="115">
        <f t="shared" si="210"/>
        <v>0</v>
      </c>
      <c r="I351" s="115">
        <f t="shared" si="210"/>
        <v>0</v>
      </c>
      <c r="J351" s="115">
        <f t="shared" si="210"/>
        <v>0</v>
      </c>
      <c r="K351" s="115">
        <f t="shared" si="210"/>
        <v>0</v>
      </c>
      <c r="L351" s="115">
        <f t="shared" si="210"/>
        <v>0</v>
      </c>
      <c r="M351" s="115">
        <f t="shared" si="210"/>
        <v>0</v>
      </c>
      <c r="N351" s="115">
        <f t="shared" si="210"/>
        <v>0</v>
      </c>
      <c r="O351" s="115">
        <f t="shared" si="210"/>
        <v>0</v>
      </c>
      <c r="P351" s="115">
        <f t="shared" si="210"/>
        <v>0</v>
      </c>
      <c r="Q351" s="115">
        <f t="shared" si="210"/>
        <v>0</v>
      </c>
    </row>
    <row r="352" spans="1:17" s="36" customFormat="1" x14ac:dyDescent="0.25">
      <c r="A352" s="111">
        <f t="shared" si="191"/>
        <v>2400</v>
      </c>
      <c r="B352" s="111" t="str">
        <f t="shared" si="191"/>
        <v>Nurse</v>
      </c>
      <c r="D352" s="111">
        <f t="shared" si="192"/>
        <v>50000</v>
      </c>
      <c r="F352" s="115">
        <f t="shared" ref="F352:Q352" si="211">$D352*(1+E$5)*F224</f>
        <v>0</v>
      </c>
      <c r="G352" s="115">
        <f t="shared" si="211"/>
        <v>0</v>
      </c>
      <c r="H352" s="115">
        <f t="shared" si="211"/>
        <v>0</v>
      </c>
      <c r="I352" s="115">
        <f t="shared" si="211"/>
        <v>0</v>
      </c>
      <c r="J352" s="115">
        <f t="shared" si="211"/>
        <v>0</v>
      </c>
      <c r="K352" s="115">
        <f t="shared" si="211"/>
        <v>0</v>
      </c>
      <c r="L352" s="115">
        <f t="shared" si="211"/>
        <v>0</v>
      </c>
      <c r="M352" s="115">
        <f t="shared" si="211"/>
        <v>0</v>
      </c>
      <c r="N352" s="115">
        <f t="shared" si="211"/>
        <v>0</v>
      </c>
      <c r="O352" s="115">
        <f t="shared" si="211"/>
        <v>0</v>
      </c>
      <c r="P352" s="115">
        <f t="shared" si="211"/>
        <v>0</v>
      </c>
      <c r="Q352" s="115">
        <f t="shared" si="211"/>
        <v>0</v>
      </c>
    </row>
    <row r="353" spans="1:17" s="36" customFormat="1" x14ac:dyDescent="0.25">
      <c r="A353" s="111">
        <f t="shared" si="191"/>
        <v>2400</v>
      </c>
      <c r="B353" s="111" t="str">
        <f t="shared" si="191"/>
        <v>Nurse</v>
      </c>
      <c r="D353" s="111">
        <f t="shared" si="192"/>
        <v>50000</v>
      </c>
      <c r="F353" s="115">
        <f t="shared" ref="F353:Q353" si="212">$D353*(1+E$5)*F225</f>
        <v>0</v>
      </c>
      <c r="G353" s="115">
        <f t="shared" si="212"/>
        <v>0</v>
      </c>
      <c r="H353" s="115">
        <f t="shared" si="212"/>
        <v>0</v>
      </c>
      <c r="I353" s="115">
        <f t="shared" si="212"/>
        <v>0</v>
      </c>
      <c r="J353" s="115">
        <f t="shared" si="212"/>
        <v>53000</v>
      </c>
      <c r="K353" s="115">
        <f t="shared" si="212"/>
        <v>54000</v>
      </c>
      <c r="L353" s="115">
        <f t="shared" si="212"/>
        <v>55000.000000000007</v>
      </c>
      <c r="M353" s="115">
        <f t="shared" si="212"/>
        <v>56000.000000000007</v>
      </c>
      <c r="N353" s="115">
        <f t="shared" si="212"/>
        <v>57000.000000000007</v>
      </c>
      <c r="O353" s="115">
        <f t="shared" si="212"/>
        <v>57999.999999999993</v>
      </c>
      <c r="P353" s="115">
        <f t="shared" si="212"/>
        <v>59000</v>
      </c>
      <c r="Q353" s="115">
        <f t="shared" si="212"/>
        <v>60000</v>
      </c>
    </row>
    <row r="354" spans="1:17" s="36" customFormat="1" x14ac:dyDescent="0.25">
      <c r="A354" s="111">
        <f t="shared" ref="A354:B373" si="213">A226</f>
        <v>1300</v>
      </c>
      <c r="B354" s="111" t="str">
        <f t="shared" si="213"/>
        <v>School Counselor/Social Worker</v>
      </c>
      <c r="D354" s="111">
        <f t="shared" si="192"/>
        <v>55000</v>
      </c>
      <c r="F354" s="115">
        <f t="shared" ref="F354:Q354" si="214">$D354*(1+E$5)*F226</f>
        <v>0</v>
      </c>
      <c r="G354" s="115">
        <f t="shared" si="214"/>
        <v>0</v>
      </c>
      <c r="H354" s="115">
        <f t="shared" si="214"/>
        <v>0</v>
      </c>
      <c r="I354" s="115">
        <f t="shared" si="214"/>
        <v>0</v>
      </c>
      <c r="J354" s="115">
        <f t="shared" si="214"/>
        <v>0</v>
      </c>
      <c r="K354" s="115">
        <f t="shared" si="214"/>
        <v>0</v>
      </c>
      <c r="L354" s="115">
        <f t="shared" si="214"/>
        <v>0</v>
      </c>
      <c r="M354" s="115">
        <f t="shared" si="214"/>
        <v>0</v>
      </c>
      <c r="N354" s="115">
        <f t="shared" si="214"/>
        <v>0</v>
      </c>
      <c r="O354" s="115">
        <f t="shared" si="214"/>
        <v>0</v>
      </c>
      <c r="P354" s="115">
        <f t="shared" si="214"/>
        <v>0</v>
      </c>
      <c r="Q354" s="115">
        <f t="shared" si="214"/>
        <v>0</v>
      </c>
    </row>
    <row r="355" spans="1:17" s="36" customFormat="1" x14ac:dyDescent="0.25">
      <c r="A355" s="111">
        <f t="shared" si="213"/>
        <v>1300</v>
      </c>
      <c r="B355" s="111" t="str">
        <f t="shared" si="213"/>
        <v xml:space="preserve">School Psychologist (when MS comes on) </v>
      </c>
      <c r="D355" s="111">
        <f t="shared" si="192"/>
        <v>80000</v>
      </c>
      <c r="F355" s="115">
        <f t="shared" ref="F355:Q355" si="215">$D355*(1+E$5)*F227</f>
        <v>0</v>
      </c>
      <c r="G355" s="115">
        <f t="shared" si="215"/>
        <v>0</v>
      </c>
      <c r="H355" s="115">
        <f t="shared" si="215"/>
        <v>0</v>
      </c>
      <c r="I355" s="115">
        <f t="shared" si="215"/>
        <v>0</v>
      </c>
      <c r="J355" s="115">
        <f t="shared" si="215"/>
        <v>0</v>
      </c>
      <c r="K355" s="115">
        <f t="shared" si="215"/>
        <v>0</v>
      </c>
      <c r="L355" s="115">
        <f t="shared" si="215"/>
        <v>0</v>
      </c>
      <c r="M355" s="115">
        <f t="shared" si="215"/>
        <v>0</v>
      </c>
      <c r="N355" s="115">
        <f t="shared" si="215"/>
        <v>0</v>
      </c>
      <c r="O355" s="115">
        <f t="shared" si="215"/>
        <v>0</v>
      </c>
      <c r="P355" s="115">
        <f t="shared" si="215"/>
        <v>0</v>
      </c>
      <c r="Q355" s="115">
        <f t="shared" si="215"/>
        <v>0</v>
      </c>
    </row>
    <row r="356" spans="1:17" s="36" customFormat="1" x14ac:dyDescent="0.25">
      <c r="A356" s="111">
        <f t="shared" si="213"/>
        <v>1300</v>
      </c>
      <c r="B356" s="111" t="str">
        <f t="shared" si="213"/>
        <v>School Psychologist - HS</v>
      </c>
      <c r="D356" s="111">
        <f t="shared" si="192"/>
        <v>80000</v>
      </c>
      <c r="F356" s="115">
        <f t="shared" ref="F356:Q356" si="216">$D356*(1+E$5)*F228</f>
        <v>0</v>
      </c>
      <c r="G356" s="115">
        <f t="shared" si="216"/>
        <v>0</v>
      </c>
      <c r="H356" s="115">
        <f t="shared" si="216"/>
        <v>0</v>
      </c>
      <c r="I356" s="115">
        <f t="shared" si="216"/>
        <v>0</v>
      </c>
      <c r="J356" s="115">
        <f t="shared" si="216"/>
        <v>0</v>
      </c>
      <c r="K356" s="115">
        <f t="shared" si="216"/>
        <v>0</v>
      </c>
      <c r="L356" s="115">
        <f t="shared" si="216"/>
        <v>0</v>
      </c>
      <c r="M356" s="115">
        <f t="shared" si="216"/>
        <v>0</v>
      </c>
      <c r="N356" s="115">
        <f t="shared" si="216"/>
        <v>0</v>
      </c>
      <c r="O356" s="115">
        <f t="shared" si="216"/>
        <v>0</v>
      </c>
      <c r="P356" s="115">
        <f t="shared" si="216"/>
        <v>0</v>
      </c>
      <c r="Q356" s="115">
        <f t="shared" si="216"/>
        <v>0</v>
      </c>
    </row>
    <row r="357" spans="1:17" s="36" customFormat="1" x14ac:dyDescent="0.25">
      <c r="A357" s="111">
        <f t="shared" si="213"/>
        <v>1300</v>
      </c>
      <c r="B357" s="111" t="str">
        <f t="shared" si="213"/>
        <v xml:space="preserve">College Counselor - HS </v>
      </c>
      <c r="D357" s="111">
        <f t="shared" si="192"/>
        <v>50000</v>
      </c>
      <c r="F357" s="115">
        <f t="shared" ref="F357:Q357" si="217">$D357*(1+E$5)*F229</f>
        <v>0</v>
      </c>
      <c r="G357" s="115">
        <f t="shared" si="217"/>
        <v>0</v>
      </c>
      <c r="H357" s="115">
        <f t="shared" si="217"/>
        <v>0</v>
      </c>
      <c r="I357" s="115">
        <f t="shared" si="217"/>
        <v>0</v>
      </c>
      <c r="J357" s="115">
        <f t="shared" si="217"/>
        <v>0</v>
      </c>
      <c r="K357" s="115">
        <f t="shared" si="217"/>
        <v>0</v>
      </c>
      <c r="L357" s="115">
        <f t="shared" si="217"/>
        <v>0</v>
      </c>
      <c r="M357" s="115">
        <f t="shared" si="217"/>
        <v>0</v>
      </c>
      <c r="N357" s="115">
        <f t="shared" si="217"/>
        <v>0</v>
      </c>
      <c r="O357" s="115">
        <f t="shared" si="217"/>
        <v>0</v>
      </c>
      <c r="P357" s="115">
        <f t="shared" si="217"/>
        <v>0</v>
      </c>
      <c r="Q357" s="115">
        <f t="shared" si="217"/>
        <v>0</v>
      </c>
    </row>
    <row r="358" spans="1:17" s="36" customFormat="1" x14ac:dyDescent="0.25">
      <c r="A358" s="111">
        <f t="shared" si="213"/>
        <v>1110</v>
      </c>
      <c r="B358" s="111" t="str">
        <f t="shared" si="213"/>
        <v>Kindergarten Teacher</v>
      </c>
      <c r="D358" s="111">
        <f t="shared" si="192"/>
        <v>50000</v>
      </c>
      <c r="F358" s="115" t="e">
        <f t="shared" ref="F358:Q358" si="218">$D358*(1+E$5)*F230</f>
        <v>#REF!</v>
      </c>
      <c r="G358" s="115" t="e">
        <f t="shared" si="218"/>
        <v>#REF!</v>
      </c>
      <c r="H358" s="115" t="e">
        <f t="shared" si="218"/>
        <v>#REF!</v>
      </c>
      <c r="I358" s="115" t="e">
        <f t="shared" si="218"/>
        <v>#REF!</v>
      </c>
      <c r="J358" s="115" t="e">
        <f t="shared" si="218"/>
        <v>#REF!</v>
      </c>
      <c r="K358" s="115" t="e">
        <f t="shared" si="218"/>
        <v>#REF!</v>
      </c>
      <c r="L358" s="115" t="e">
        <f t="shared" si="218"/>
        <v>#REF!</v>
      </c>
      <c r="M358" s="115" t="e">
        <f t="shared" si="218"/>
        <v>#REF!</v>
      </c>
      <c r="N358" s="115" t="e">
        <f t="shared" si="218"/>
        <v>#REF!</v>
      </c>
      <c r="O358" s="115" t="e">
        <f t="shared" si="218"/>
        <v>#REF!</v>
      </c>
      <c r="P358" s="115" t="e">
        <f t="shared" si="218"/>
        <v>#REF!</v>
      </c>
      <c r="Q358" s="115" t="e">
        <f t="shared" si="218"/>
        <v>#REF!</v>
      </c>
    </row>
    <row r="359" spans="1:17" s="36" customFormat="1" x14ac:dyDescent="0.25">
      <c r="A359" s="111">
        <f t="shared" si="213"/>
        <v>1110</v>
      </c>
      <c r="B359" s="111" t="str">
        <f t="shared" si="213"/>
        <v>Kindergarten Teacher</v>
      </c>
      <c r="D359" s="111">
        <f t="shared" si="192"/>
        <v>50000</v>
      </c>
      <c r="F359" s="115" t="e">
        <f t="shared" ref="F359:Q359" si="219">$D359*(1+E$5)*F231</f>
        <v>#REF!</v>
      </c>
      <c r="G359" s="115" t="e">
        <f t="shared" si="219"/>
        <v>#REF!</v>
      </c>
      <c r="H359" s="115" t="e">
        <f t="shared" si="219"/>
        <v>#REF!</v>
      </c>
      <c r="I359" s="115" t="e">
        <f t="shared" si="219"/>
        <v>#REF!</v>
      </c>
      <c r="J359" s="115" t="e">
        <f t="shared" si="219"/>
        <v>#REF!</v>
      </c>
      <c r="K359" s="115" t="e">
        <f t="shared" si="219"/>
        <v>#REF!</v>
      </c>
      <c r="L359" s="115" t="e">
        <f t="shared" si="219"/>
        <v>#REF!</v>
      </c>
      <c r="M359" s="115" t="e">
        <f t="shared" si="219"/>
        <v>#REF!</v>
      </c>
      <c r="N359" s="115" t="e">
        <f t="shared" si="219"/>
        <v>#REF!</v>
      </c>
      <c r="O359" s="115" t="e">
        <f t="shared" si="219"/>
        <v>#REF!</v>
      </c>
      <c r="P359" s="115" t="e">
        <f t="shared" si="219"/>
        <v>#REF!</v>
      </c>
      <c r="Q359" s="115" t="e">
        <f t="shared" si="219"/>
        <v>#REF!</v>
      </c>
    </row>
    <row r="360" spans="1:17" s="36" customFormat="1" x14ac:dyDescent="0.25">
      <c r="A360" s="111">
        <f t="shared" si="213"/>
        <v>1110</v>
      </c>
      <c r="B360" s="111" t="str">
        <f t="shared" si="213"/>
        <v>Kindergarten Teacher</v>
      </c>
      <c r="D360" s="111">
        <f t="shared" si="192"/>
        <v>50000</v>
      </c>
      <c r="F360" s="115" t="e">
        <f t="shared" ref="F360:Q360" si="220">$D360*(1+E$5)*F232</f>
        <v>#REF!</v>
      </c>
      <c r="G360" s="115" t="e">
        <f t="shared" si="220"/>
        <v>#REF!</v>
      </c>
      <c r="H360" s="115" t="e">
        <f t="shared" si="220"/>
        <v>#REF!</v>
      </c>
      <c r="I360" s="115" t="e">
        <f t="shared" si="220"/>
        <v>#REF!</v>
      </c>
      <c r="J360" s="115">
        <f t="shared" si="220"/>
        <v>53000</v>
      </c>
      <c r="K360" s="115">
        <f t="shared" si="220"/>
        <v>54000</v>
      </c>
      <c r="L360" s="115">
        <f t="shared" si="220"/>
        <v>55000.000000000007</v>
      </c>
      <c r="M360" s="115">
        <f t="shared" si="220"/>
        <v>56000.000000000007</v>
      </c>
      <c r="N360" s="115">
        <f t="shared" si="220"/>
        <v>57000.000000000007</v>
      </c>
      <c r="O360" s="115">
        <f t="shared" si="220"/>
        <v>57999.999999999993</v>
      </c>
      <c r="P360" s="115">
        <f t="shared" si="220"/>
        <v>59000</v>
      </c>
      <c r="Q360" s="115">
        <f t="shared" si="220"/>
        <v>60000</v>
      </c>
    </row>
    <row r="361" spans="1:17" s="36" customFormat="1" x14ac:dyDescent="0.25">
      <c r="A361" s="111">
        <f t="shared" si="213"/>
        <v>1110</v>
      </c>
      <c r="B361" s="111" t="str">
        <f t="shared" si="213"/>
        <v>Kindergarten Teacher</v>
      </c>
      <c r="D361" s="111">
        <f t="shared" si="192"/>
        <v>50000</v>
      </c>
      <c r="F361" s="115" t="e">
        <f t="shared" ref="F361:Q361" si="221">$D361*(1+E$5)*F233</f>
        <v>#REF!</v>
      </c>
      <c r="G361" s="115" t="e">
        <f t="shared" si="221"/>
        <v>#REF!</v>
      </c>
      <c r="H361" s="115" t="e">
        <f t="shared" si="221"/>
        <v>#REF!</v>
      </c>
      <c r="I361" s="115" t="e">
        <f t="shared" si="221"/>
        <v>#REF!</v>
      </c>
      <c r="J361" s="115">
        <f t="shared" si="221"/>
        <v>0</v>
      </c>
      <c r="K361" s="115">
        <f t="shared" si="221"/>
        <v>0</v>
      </c>
      <c r="L361" s="115">
        <f t="shared" si="221"/>
        <v>0</v>
      </c>
      <c r="M361" s="115">
        <f t="shared" si="221"/>
        <v>0</v>
      </c>
      <c r="N361" s="115">
        <f t="shared" si="221"/>
        <v>57000.000000000007</v>
      </c>
      <c r="O361" s="115">
        <f t="shared" si="221"/>
        <v>0</v>
      </c>
      <c r="P361" s="115">
        <f t="shared" si="221"/>
        <v>0</v>
      </c>
      <c r="Q361" s="115">
        <f t="shared" si="221"/>
        <v>0</v>
      </c>
    </row>
    <row r="362" spans="1:17" s="36" customFormat="1" x14ac:dyDescent="0.25">
      <c r="A362" s="111">
        <f t="shared" si="213"/>
        <v>1110</v>
      </c>
      <c r="B362" s="111" t="str">
        <f t="shared" si="213"/>
        <v>Kindergarten Teacher</v>
      </c>
      <c r="D362" s="111">
        <f t="shared" si="192"/>
        <v>50000</v>
      </c>
      <c r="F362" s="115" t="e">
        <f t="shared" ref="F362:Q362" si="222">$D362*(1+E$5)*F234</f>
        <v>#REF!</v>
      </c>
      <c r="G362" s="115" t="e">
        <f t="shared" si="222"/>
        <v>#REF!</v>
      </c>
      <c r="H362" s="115" t="e">
        <f t="shared" si="222"/>
        <v>#REF!</v>
      </c>
      <c r="I362" s="115" t="e">
        <f t="shared" si="222"/>
        <v>#REF!</v>
      </c>
      <c r="J362" s="115">
        <f t="shared" si="222"/>
        <v>0</v>
      </c>
      <c r="K362" s="115">
        <f t="shared" si="222"/>
        <v>0</v>
      </c>
      <c r="L362" s="115">
        <f t="shared" si="222"/>
        <v>0</v>
      </c>
      <c r="M362" s="115">
        <f t="shared" si="222"/>
        <v>0</v>
      </c>
      <c r="N362" s="115">
        <f t="shared" si="222"/>
        <v>57000.000000000007</v>
      </c>
      <c r="O362" s="115">
        <f t="shared" si="222"/>
        <v>57999.999999999993</v>
      </c>
      <c r="P362" s="115">
        <f t="shared" si="222"/>
        <v>59000</v>
      </c>
      <c r="Q362" s="115">
        <f t="shared" si="222"/>
        <v>60000</v>
      </c>
    </row>
    <row r="363" spans="1:17" s="36" customFormat="1" x14ac:dyDescent="0.25">
      <c r="A363" s="111">
        <f t="shared" si="213"/>
        <v>1110</v>
      </c>
      <c r="B363" s="111" t="str">
        <f t="shared" si="213"/>
        <v>1st Grade Teacher</v>
      </c>
      <c r="D363" s="111">
        <f t="shared" si="192"/>
        <v>50000</v>
      </c>
      <c r="F363" s="115" t="e">
        <f t="shared" ref="F363:Q363" si="223">$D363*(1+E$5)*F235</f>
        <v>#REF!</v>
      </c>
      <c r="G363" s="115" t="e">
        <f t="shared" si="223"/>
        <v>#REF!</v>
      </c>
      <c r="H363" s="115" t="e">
        <f t="shared" si="223"/>
        <v>#REF!</v>
      </c>
      <c r="I363" s="115" t="e">
        <f t="shared" si="223"/>
        <v>#REF!</v>
      </c>
      <c r="J363" s="115" t="e">
        <f t="shared" si="223"/>
        <v>#REF!</v>
      </c>
      <c r="K363" s="115" t="e">
        <f t="shared" si="223"/>
        <v>#REF!</v>
      </c>
      <c r="L363" s="115" t="e">
        <f t="shared" si="223"/>
        <v>#REF!</v>
      </c>
      <c r="M363" s="115" t="e">
        <f t="shared" si="223"/>
        <v>#REF!</v>
      </c>
      <c r="N363" s="115" t="e">
        <f t="shared" si="223"/>
        <v>#REF!</v>
      </c>
      <c r="O363" s="115" t="e">
        <f t="shared" si="223"/>
        <v>#REF!</v>
      </c>
      <c r="P363" s="115" t="e">
        <f t="shared" si="223"/>
        <v>#REF!</v>
      </c>
      <c r="Q363" s="115" t="e">
        <f t="shared" si="223"/>
        <v>#REF!</v>
      </c>
    </row>
    <row r="364" spans="1:17" s="36" customFormat="1" x14ac:dyDescent="0.25">
      <c r="A364" s="111">
        <f t="shared" si="213"/>
        <v>1110</v>
      </c>
      <c r="B364" s="111" t="str">
        <f t="shared" si="213"/>
        <v>1st Grade Teacher</v>
      </c>
      <c r="D364" s="111">
        <f t="shared" si="192"/>
        <v>50000</v>
      </c>
      <c r="F364" s="115" t="e">
        <f t="shared" ref="F364:Q364" si="224">$D364*(1+E$5)*F236</f>
        <v>#REF!</v>
      </c>
      <c r="G364" s="115" t="e">
        <f t="shared" si="224"/>
        <v>#REF!</v>
      </c>
      <c r="H364" s="115" t="e">
        <f t="shared" si="224"/>
        <v>#REF!</v>
      </c>
      <c r="I364" s="115" t="e">
        <f t="shared" si="224"/>
        <v>#REF!</v>
      </c>
      <c r="J364" s="115" t="e">
        <f t="shared" si="224"/>
        <v>#REF!</v>
      </c>
      <c r="K364" s="115" t="e">
        <f t="shared" si="224"/>
        <v>#REF!</v>
      </c>
      <c r="L364" s="115" t="e">
        <f t="shared" si="224"/>
        <v>#REF!</v>
      </c>
      <c r="M364" s="115" t="e">
        <f t="shared" si="224"/>
        <v>#REF!</v>
      </c>
      <c r="N364" s="115" t="e">
        <f t="shared" si="224"/>
        <v>#REF!</v>
      </c>
      <c r="O364" s="115" t="e">
        <f t="shared" si="224"/>
        <v>#REF!</v>
      </c>
      <c r="P364" s="115" t="e">
        <f t="shared" si="224"/>
        <v>#REF!</v>
      </c>
      <c r="Q364" s="115" t="e">
        <f t="shared" si="224"/>
        <v>#REF!</v>
      </c>
    </row>
    <row r="365" spans="1:17" s="36" customFormat="1" x14ac:dyDescent="0.25">
      <c r="A365" s="111">
        <f t="shared" si="213"/>
        <v>1110</v>
      </c>
      <c r="B365" s="111" t="str">
        <f t="shared" si="213"/>
        <v>1st Grade Teacher</v>
      </c>
      <c r="D365" s="111">
        <f t="shared" si="192"/>
        <v>50000</v>
      </c>
      <c r="F365" s="115" t="e">
        <f t="shared" ref="F365:Q365" si="225">$D365*(1+E$5)*F237</f>
        <v>#REF!</v>
      </c>
      <c r="G365" s="115" t="e">
        <f t="shared" si="225"/>
        <v>#REF!</v>
      </c>
      <c r="H365" s="115" t="e">
        <f t="shared" si="225"/>
        <v>#REF!</v>
      </c>
      <c r="I365" s="115" t="e">
        <f t="shared" si="225"/>
        <v>#REF!</v>
      </c>
      <c r="J365" s="115" t="e">
        <f t="shared" si="225"/>
        <v>#REF!</v>
      </c>
      <c r="K365" s="115">
        <f t="shared" si="225"/>
        <v>54000</v>
      </c>
      <c r="L365" s="115">
        <f t="shared" si="225"/>
        <v>55000.000000000007</v>
      </c>
      <c r="M365" s="115">
        <f t="shared" si="225"/>
        <v>56000.000000000007</v>
      </c>
      <c r="N365" s="115">
        <f t="shared" si="225"/>
        <v>57000.000000000007</v>
      </c>
      <c r="O365" s="115">
        <f t="shared" si="225"/>
        <v>57999.999999999993</v>
      </c>
      <c r="P365" s="115">
        <f t="shared" si="225"/>
        <v>0</v>
      </c>
      <c r="Q365" s="115">
        <f t="shared" si="225"/>
        <v>0</v>
      </c>
    </row>
    <row r="366" spans="1:17" s="36" customFormat="1" x14ac:dyDescent="0.25">
      <c r="A366" s="111">
        <f t="shared" si="213"/>
        <v>1110</v>
      </c>
      <c r="B366" s="111" t="str">
        <f t="shared" si="213"/>
        <v>1st Grade Teacher</v>
      </c>
      <c r="D366" s="111">
        <f t="shared" ref="D366:D397" si="226">D238</f>
        <v>50000</v>
      </c>
      <c r="F366" s="115" t="e">
        <f t="shared" ref="F366:Q366" si="227">$D366*(1+E$5)*F238</f>
        <v>#REF!</v>
      </c>
      <c r="G366" s="115" t="e">
        <f t="shared" si="227"/>
        <v>#REF!</v>
      </c>
      <c r="H366" s="115" t="e">
        <f t="shared" si="227"/>
        <v>#REF!</v>
      </c>
      <c r="I366" s="115" t="e">
        <f t="shared" si="227"/>
        <v>#REF!</v>
      </c>
      <c r="J366" s="115" t="e">
        <f t="shared" si="227"/>
        <v>#REF!</v>
      </c>
      <c r="K366" s="115">
        <f t="shared" si="227"/>
        <v>0</v>
      </c>
      <c r="L366" s="115">
        <f t="shared" si="227"/>
        <v>0</v>
      </c>
      <c r="M366" s="115">
        <f t="shared" si="227"/>
        <v>0</v>
      </c>
      <c r="N366" s="115">
        <f t="shared" si="227"/>
        <v>0</v>
      </c>
      <c r="O366" s="115">
        <f t="shared" si="227"/>
        <v>57999.999999999993</v>
      </c>
      <c r="P366" s="115">
        <f t="shared" si="227"/>
        <v>0</v>
      </c>
      <c r="Q366" s="115">
        <f t="shared" si="227"/>
        <v>0</v>
      </c>
    </row>
    <row r="367" spans="1:17" s="36" customFormat="1" x14ac:dyDescent="0.25">
      <c r="A367" s="111">
        <f t="shared" si="213"/>
        <v>1110</v>
      </c>
      <c r="B367" s="111" t="str">
        <f t="shared" si="213"/>
        <v>1st Grade Teacher</v>
      </c>
      <c r="D367" s="111">
        <f t="shared" si="226"/>
        <v>50000</v>
      </c>
      <c r="F367" s="115" t="e">
        <f t="shared" ref="F367:Q367" si="228">$D367*(1+E$5)*F239</f>
        <v>#REF!</v>
      </c>
      <c r="G367" s="115" t="e">
        <f t="shared" si="228"/>
        <v>#REF!</v>
      </c>
      <c r="H367" s="115" t="e">
        <f t="shared" si="228"/>
        <v>#REF!</v>
      </c>
      <c r="I367" s="115" t="e">
        <f t="shared" si="228"/>
        <v>#REF!</v>
      </c>
      <c r="J367" s="115">
        <f t="shared" si="228"/>
        <v>53000</v>
      </c>
      <c r="K367" s="115">
        <f t="shared" si="228"/>
        <v>0</v>
      </c>
      <c r="L367" s="115">
        <f t="shared" si="228"/>
        <v>0</v>
      </c>
      <c r="M367" s="115">
        <f t="shared" si="228"/>
        <v>0</v>
      </c>
      <c r="N367" s="115">
        <f t="shared" si="228"/>
        <v>0</v>
      </c>
      <c r="O367" s="115">
        <f t="shared" si="228"/>
        <v>0</v>
      </c>
      <c r="P367" s="115">
        <f t="shared" si="228"/>
        <v>0</v>
      </c>
      <c r="Q367" s="115">
        <f t="shared" si="228"/>
        <v>0</v>
      </c>
    </row>
    <row r="368" spans="1:17" s="36" customFormat="1" x14ac:dyDescent="0.25">
      <c r="A368" s="111">
        <f t="shared" si="213"/>
        <v>1110</v>
      </c>
      <c r="B368" s="111" t="str">
        <f t="shared" si="213"/>
        <v>2nd Grade Teacher</v>
      </c>
      <c r="D368" s="111">
        <f t="shared" si="226"/>
        <v>50000</v>
      </c>
      <c r="F368" s="115" t="e">
        <f t="shared" ref="F368:Q368" si="229">$D368*(1+E$5)*F240</f>
        <v>#REF!</v>
      </c>
      <c r="G368" s="115" t="e">
        <f t="shared" si="229"/>
        <v>#REF!</v>
      </c>
      <c r="H368" s="115" t="e">
        <f t="shared" si="229"/>
        <v>#REF!</v>
      </c>
      <c r="I368" s="115" t="e">
        <f t="shared" si="229"/>
        <v>#REF!</v>
      </c>
      <c r="J368" s="115" t="e">
        <f t="shared" si="229"/>
        <v>#REF!</v>
      </c>
      <c r="K368" s="115" t="e">
        <f t="shared" si="229"/>
        <v>#REF!</v>
      </c>
      <c r="L368" s="115" t="e">
        <f t="shared" si="229"/>
        <v>#REF!</v>
      </c>
      <c r="M368" s="115" t="e">
        <f t="shared" si="229"/>
        <v>#REF!</v>
      </c>
      <c r="N368" s="115" t="e">
        <f t="shared" si="229"/>
        <v>#REF!</v>
      </c>
      <c r="O368" s="115" t="e">
        <f t="shared" si="229"/>
        <v>#REF!</v>
      </c>
      <c r="P368" s="115" t="e">
        <f t="shared" si="229"/>
        <v>#REF!</v>
      </c>
      <c r="Q368" s="115" t="e">
        <f t="shared" si="229"/>
        <v>#REF!</v>
      </c>
    </row>
    <row r="369" spans="1:17" s="36" customFormat="1" x14ac:dyDescent="0.25">
      <c r="A369" s="111">
        <f t="shared" si="213"/>
        <v>1110</v>
      </c>
      <c r="B369" s="111" t="str">
        <f t="shared" si="213"/>
        <v>2nd Grade Teacher</v>
      </c>
      <c r="D369" s="111">
        <f t="shared" si="226"/>
        <v>50000</v>
      </c>
      <c r="F369" s="115" t="e">
        <f t="shared" ref="F369:Q369" si="230">$D369*(1+E$5)*F241</f>
        <v>#REF!</v>
      </c>
      <c r="G369" s="115" t="e">
        <f t="shared" si="230"/>
        <v>#REF!</v>
      </c>
      <c r="H369" s="115" t="e">
        <f t="shared" si="230"/>
        <v>#REF!</v>
      </c>
      <c r="I369" s="115" t="e">
        <f t="shared" si="230"/>
        <v>#REF!</v>
      </c>
      <c r="J369" s="115" t="e">
        <f t="shared" si="230"/>
        <v>#REF!</v>
      </c>
      <c r="K369" s="115" t="e">
        <f t="shared" si="230"/>
        <v>#REF!</v>
      </c>
      <c r="L369" s="115" t="e">
        <f t="shared" si="230"/>
        <v>#REF!</v>
      </c>
      <c r="M369" s="115" t="e">
        <f t="shared" si="230"/>
        <v>#REF!</v>
      </c>
      <c r="N369" s="115" t="e">
        <f t="shared" si="230"/>
        <v>#REF!</v>
      </c>
      <c r="O369" s="115" t="e">
        <f t="shared" si="230"/>
        <v>#REF!</v>
      </c>
      <c r="P369" s="115" t="e">
        <f t="shared" si="230"/>
        <v>#REF!</v>
      </c>
      <c r="Q369" s="115" t="e">
        <f t="shared" si="230"/>
        <v>#REF!</v>
      </c>
    </row>
    <row r="370" spans="1:17" s="36" customFormat="1" x14ac:dyDescent="0.25">
      <c r="A370" s="111">
        <f t="shared" si="213"/>
        <v>1110</v>
      </c>
      <c r="B370" s="111" t="str">
        <f t="shared" si="213"/>
        <v>2nd Grade Teacher</v>
      </c>
      <c r="D370" s="111">
        <f t="shared" si="226"/>
        <v>50000</v>
      </c>
      <c r="F370" s="115" t="e">
        <f t="shared" ref="F370:Q370" si="231">$D370*(1+E$5)*F242</f>
        <v>#REF!</v>
      </c>
      <c r="G370" s="115" t="e">
        <f t="shared" si="231"/>
        <v>#REF!</v>
      </c>
      <c r="H370" s="115" t="e">
        <f t="shared" si="231"/>
        <v>#REF!</v>
      </c>
      <c r="I370" s="115" t="e">
        <f t="shared" si="231"/>
        <v>#REF!</v>
      </c>
      <c r="J370" s="115" t="e">
        <f t="shared" si="231"/>
        <v>#REF!</v>
      </c>
      <c r="K370" s="115" t="e">
        <f t="shared" si="231"/>
        <v>#REF!</v>
      </c>
      <c r="L370" s="115">
        <f t="shared" si="231"/>
        <v>55000.000000000007</v>
      </c>
      <c r="M370" s="115">
        <f t="shared" si="231"/>
        <v>56000.000000000007</v>
      </c>
      <c r="N370" s="115">
        <f t="shared" si="231"/>
        <v>57000.000000000007</v>
      </c>
      <c r="O370" s="115">
        <f t="shared" si="231"/>
        <v>57999.999999999993</v>
      </c>
      <c r="P370" s="115">
        <f t="shared" si="231"/>
        <v>59000</v>
      </c>
      <c r="Q370" s="115">
        <f t="shared" si="231"/>
        <v>0</v>
      </c>
    </row>
    <row r="371" spans="1:17" s="36" customFormat="1" x14ac:dyDescent="0.25">
      <c r="A371" s="111">
        <f t="shared" si="213"/>
        <v>1110</v>
      </c>
      <c r="B371" s="111" t="str">
        <f t="shared" si="213"/>
        <v>2nd Grade Teacher</v>
      </c>
      <c r="D371" s="111">
        <f t="shared" si="226"/>
        <v>50000</v>
      </c>
      <c r="F371" s="115" t="e">
        <f t="shared" ref="F371:Q371" si="232">$D371*(1+E$5)*F243</f>
        <v>#REF!</v>
      </c>
      <c r="G371" s="115" t="e">
        <f t="shared" si="232"/>
        <v>#REF!</v>
      </c>
      <c r="H371" s="115" t="e">
        <f t="shared" si="232"/>
        <v>#REF!</v>
      </c>
      <c r="I371" s="115" t="e">
        <f t="shared" si="232"/>
        <v>#REF!</v>
      </c>
      <c r="J371" s="115" t="e">
        <f t="shared" si="232"/>
        <v>#REF!</v>
      </c>
      <c r="K371" s="115" t="e">
        <f t="shared" si="232"/>
        <v>#REF!</v>
      </c>
      <c r="L371" s="115">
        <f t="shared" si="232"/>
        <v>0</v>
      </c>
      <c r="M371" s="115">
        <f t="shared" si="232"/>
        <v>0</v>
      </c>
      <c r="N371" s="115">
        <f t="shared" si="232"/>
        <v>0</v>
      </c>
      <c r="O371" s="115">
        <f t="shared" si="232"/>
        <v>0</v>
      </c>
      <c r="P371" s="115">
        <f t="shared" si="232"/>
        <v>59000</v>
      </c>
      <c r="Q371" s="115">
        <f t="shared" si="232"/>
        <v>0</v>
      </c>
    </row>
    <row r="372" spans="1:17" s="36" customFormat="1" x14ac:dyDescent="0.25">
      <c r="A372" s="111">
        <f t="shared" si="213"/>
        <v>1110</v>
      </c>
      <c r="B372" s="111" t="str">
        <f t="shared" si="213"/>
        <v>2nd Grade Teacher</v>
      </c>
      <c r="D372" s="111">
        <f t="shared" si="226"/>
        <v>50000</v>
      </c>
      <c r="F372" s="115" t="e">
        <f t="shared" ref="F372:Q372" si="233">$D372*(1+E$5)*F244</f>
        <v>#REF!</v>
      </c>
      <c r="G372" s="115" t="e">
        <f t="shared" si="233"/>
        <v>#REF!</v>
      </c>
      <c r="H372" s="115" t="e">
        <f t="shared" si="233"/>
        <v>#REF!</v>
      </c>
      <c r="I372" s="115" t="e">
        <f t="shared" si="233"/>
        <v>#REF!</v>
      </c>
      <c r="J372" s="115" t="e">
        <f t="shared" si="233"/>
        <v>#REF!</v>
      </c>
      <c r="K372" s="115">
        <f t="shared" si="233"/>
        <v>0</v>
      </c>
      <c r="L372" s="115">
        <f t="shared" si="233"/>
        <v>0</v>
      </c>
      <c r="M372" s="115">
        <f t="shared" si="233"/>
        <v>0</v>
      </c>
      <c r="N372" s="115">
        <f t="shared" si="233"/>
        <v>0</v>
      </c>
      <c r="O372" s="115">
        <f t="shared" si="233"/>
        <v>0</v>
      </c>
      <c r="P372" s="115">
        <f t="shared" si="233"/>
        <v>59000</v>
      </c>
      <c r="Q372" s="115">
        <f t="shared" si="233"/>
        <v>60000</v>
      </c>
    </row>
    <row r="373" spans="1:17" s="36" customFormat="1" x14ac:dyDescent="0.25">
      <c r="A373" s="111">
        <f t="shared" si="213"/>
        <v>1110</v>
      </c>
      <c r="B373" s="111" t="str">
        <f t="shared" si="213"/>
        <v>3rd Grade Teacher</v>
      </c>
      <c r="D373" s="111">
        <f t="shared" si="226"/>
        <v>50000</v>
      </c>
      <c r="F373" s="115" t="e">
        <f t="shared" ref="F373:Q373" si="234">$D373*(1+E$5)*F245</f>
        <v>#REF!</v>
      </c>
      <c r="G373" s="115" t="e">
        <f t="shared" si="234"/>
        <v>#REF!</v>
      </c>
      <c r="H373" s="115" t="e">
        <f t="shared" si="234"/>
        <v>#REF!</v>
      </c>
      <c r="I373" s="115" t="e">
        <f t="shared" si="234"/>
        <v>#REF!</v>
      </c>
      <c r="J373" s="115" t="e">
        <f t="shared" si="234"/>
        <v>#REF!</v>
      </c>
      <c r="K373" s="115" t="e">
        <f t="shared" si="234"/>
        <v>#REF!</v>
      </c>
      <c r="L373" s="115" t="e">
        <f t="shared" si="234"/>
        <v>#REF!</v>
      </c>
      <c r="M373" s="115" t="e">
        <f t="shared" si="234"/>
        <v>#REF!</v>
      </c>
      <c r="N373" s="115" t="e">
        <f t="shared" si="234"/>
        <v>#REF!</v>
      </c>
      <c r="O373" s="115" t="e">
        <f t="shared" si="234"/>
        <v>#REF!</v>
      </c>
      <c r="P373" s="115" t="e">
        <f t="shared" si="234"/>
        <v>#REF!</v>
      </c>
      <c r="Q373" s="115" t="e">
        <f t="shared" si="234"/>
        <v>#REF!</v>
      </c>
    </row>
    <row r="374" spans="1:17" s="36" customFormat="1" x14ac:dyDescent="0.25">
      <c r="A374" s="111">
        <f t="shared" ref="A374:B393" si="235">A246</f>
        <v>1110</v>
      </c>
      <c r="B374" s="111" t="str">
        <f t="shared" si="235"/>
        <v>3rd Grade Teacher</v>
      </c>
      <c r="D374" s="111">
        <f t="shared" si="226"/>
        <v>50000</v>
      </c>
      <c r="F374" s="115" t="e">
        <f t="shared" ref="F374:Q374" si="236">$D374*(1+E$5)*F246</f>
        <v>#REF!</v>
      </c>
      <c r="G374" s="115" t="e">
        <f t="shared" si="236"/>
        <v>#REF!</v>
      </c>
      <c r="H374" s="115" t="e">
        <f t="shared" si="236"/>
        <v>#REF!</v>
      </c>
      <c r="I374" s="115" t="e">
        <f t="shared" si="236"/>
        <v>#REF!</v>
      </c>
      <c r="J374" s="115" t="e">
        <f t="shared" si="236"/>
        <v>#REF!</v>
      </c>
      <c r="K374" s="115" t="e">
        <f t="shared" si="236"/>
        <v>#REF!</v>
      </c>
      <c r="L374" s="115" t="e">
        <f t="shared" si="236"/>
        <v>#REF!</v>
      </c>
      <c r="M374" s="115" t="e">
        <f t="shared" si="236"/>
        <v>#REF!</v>
      </c>
      <c r="N374" s="115" t="e">
        <f t="shared" si="236"/>
        <v>#REF!</v>
      </c>
      <c r="O374" s="115" t="e">
        <f t="shared" si="236"/>
        <v>#REF!</v>
      </c>
      <c r="P374" s="115" t="e">
        <f t="shared" si="236"/>
        <v>#REF!</v>
      </c>
      <c r="Q374" s="115" t="e">
        <f t="shared" si="236"/>
        <v>#REF!</v>
      </c>
    </row>
    <row r="375" spans="1:17" s="36" customFormat="1" x14ac:dyDescent="0.25">
      <c r="A375" s="111">
        <f t="shared" si="235"/>
        <v>1110</v>
      </c>
      <c r="B375" s="111" t="str">
        <f t="shared" si="235"/>
        <v>3rd Grade Teacher</v>
      </c>
      <c r="D375" s="111">
        <f t="shared" si="226"/>
        <v>50000</v>
      </c>
      <c r="F375" s="115" t="e">
        <f t="shared" ref="F375:Q375" si="237">$D375*(1+E$5)*F247</f>
        <v>#REF!</v>
      </c>
      <c r="G375" s="115" t="e">
        <f t="shared" si="237"/>
        <v>#REF!</v>
      </c>
      <c r="H375" s="115" t="e">
        <f t="shared" si="237"/>
        <v>#REF!</v>
      </c>
      <c r="I375" s="115" t="e">
        <f t="shared" si="237"/>
        <v>#REF!</v>
      </c>
      <c r="J375" s="115" t="e">
        <f t="shared" si="237"/>
        <v>#REF!</v>
      </c>
      <c r="K375" s="115" t="e">
        <f t="shared" si="237"/>
        <v>#REF!</v>
      </c>
      <c r="L375" s="115" t="e">
        <f t="shared" si="237"/>
        <v>#REF!</v>
      </c>
      <c r="M375" s="115">
        <f t="shared" si="237"/>
        <v>0</v>
      </c>
      <c r="N375" s="115">
        <f t="shared" si="237"/>
        <v>0</v>
      </c>
      <c r="O375" s="115">
        <f t="shared" si="237"/>
        <v>0</v>
      </c>
      <c r="P375" s="115">
        <f t="shared" si="237"/>
        <v>0</v>
      </c>
      <c r="Q375" s="115">
        <f t="shared" si="237"/>
        <v>60000</v>
      </c>
    </row>
    <row r="376" spans="1:17" s="36" customFormat="1" x14ac:dyDescent="0.25">
      <c r="A376" s="111">
        <f t="shared" si="235"/>
        <v>1110</v>
      </c>
      <c r="B376" s="111" t="str">
        <f t="shared" si="235"/>
        <v>3rd Grade Teacher</v>
      </c>
      <c r="D376" s="111">
        <f t="shared" si="226"/>
        <v>50000</v>
      </c>
      <c r="F376" s="115" t="e">
        <f t="shared" ref="F376:Q376" si="238">$D376*(1+E$5)*F248</f>
        <v>#REF!</v>
      </c>
      <c r="G376" s="115" t="e">
        <f t="shared" si="238"/>
        <v>#REF!</v>
      </c>
      <c r="H376" s="115" t="e">
        <f t="shared" si="238"/>
        <v>#REF!</v>
      </c>
      <c r="I376" s="115" t="e">
        <f t="shared" si="238"/>
        <v>#REF!</v>
      </c>
      <c r="J376" s="115" t="e">
        <f t="shared" si="238"/>
        <v>#REF!</v>
      </c>
      <c r="K376" s="115" t="e">
        <f t="shared" si="238"/>
        <v>#REF!</v>
      </c>
      <c r="L376" s="115" t="e">
        <f t="shared" si="238"/>
        <v>#REF!</v>
      </c>
      <c r="M376" s="115">
        <f t="shared" si="238"/>
        <v>0</v>
      </c>
      <c r="N376" s="115">
        <f t="shared" si="238"/>
        <v>0</v>
      </c>
      <c r="O376" s="115">
        <f t="shared" si="238"/>
        <v>0</v>
      </c>
      <c r="P376" s="115">
        <f t="shared" si="238"/>
        <v>0</v>
      </c>
      <c r="Q376" s="115">
        <f t="shared" si="238"/>
        <v>60000</v>
      </c>
    </row>
    <row r="377" spans="1:17" s="36" customFormat="1" x14ac:dyDescent="0.25">
      <c r="A377" s="111">
        <f t="shared" si="235"/>
        <v>1110</v>
      </c>
      <c r="B377" s="111" t="str">
        <f t="shared" si="235"/>
        <v>3rd Grade Teacher</v>
      </c>
      <c r="D377" s="111">
        <f t="shared" si="226"/>
        <v>50000</v>
      </c>
      <c r="F377" s="115" t="e">
        <f t="shared" ref="F377:Q377" si="239">$D377*(1+E$5)*F249</f>
        <v>#REF!</v>
      </c>
      <c r="G377" s="115" t="e">
        <f t="shared" si="239"/>
        <v>#REF!</v>
      </c>
      <c r="H377" s="115" t="e">
        <f t="shared" si="239"/>
        <v>#REF!</v>
      </c>
      <c r="I377" s="115" t="e">
        <f t="shared" si="239"/>
        <v>#REF!</v>
      </c>
      <c r="J377" s="115" t="e">
        <f t="shared" si="239"/>
        <v>#REF!</v>
      </c>
      <c r="K377" s="115" t="e">
        <f t="shared" si="239"/>
        <v>#REF!</v>
      </c>
      <c r="L377" s="115">
        <f t="shared" si="239"/>
        <v>0</v>
      </c>
      <c r="M377" s="115">
        <f t="shared" si="239"/>
        <v>0</v>
      </c>
      <c r="N377" s="115">
        <f t="shared" si="239"/>
        <v>0</v>
      </c>
      <c r="O377" s="115">
        <f t="shared" si="239"/>
        <v>0</v>
      </c>
      <c r="P377" s="115">
        <f t="shared" si="239"/>
        <v>0</v>
      </c>
      <c r="Q377" s="115">
        <f t="shared" si="239"/>
        <v>0</v>
      </c>
    </row>
    <row r="378" spans="1:17" s="36" customFormat="1" x14ac:dyDescent="0.25">
      <c r="A378" s="111">
        <f t="shared" si="235"/>
        <v>1110</v>
      </c>
      <c r="B378" s="111" t="str">
        <f t="shared" si="235"/>
        <v>4th Grade Teacher</v>
      </c>
      <c r="D378" s="111">
        <f t="shared" si="226"/>
        <v>50000</v>
      </c>
      <c r="F378" s="115" t="e">
        <f t="shared" ref="F378:Q378" si="240">$D378*(1+E$5)*F250</f>
        <v>#REF!</v>
      </c>
      <c r="G378" s="115" t="e">
        <f t="shared" si="240"/>
        <v>#REF!</v>
      </c>
      <c r="H378" s="115" t="e">
        <f t="shared" si="240"/>
        <v>#REF!</v>
      </c>
      <c r="I378" s="115" t="e">
        <f t="shared" si="240"/>
        <v>#REF!</v>
      </c>
      <c r="J378" s="115" t="e">
        <f t="shared" si="240"/>
        <v>#REF!</v>
      </c>
      <c r="K378" s="115" t="e">
        <f t="shared" si="240"/>
        <v>#REF!</v>
      </c>
      <c r="L378" s="115" t="e">
        <f t="shared" si="240"/>
        <v>#REF!</v>
      </c>
      <c r="M378" s="115" t="e">
        <f t="shared" si="240"/>
        <v>#REF!</v>
      </c>
      <c r="N378" s="115" t="e">
        <f t="shared" si="240"/>
        <v>#REF!</v>
      </c>
      <c r="O378" s="115" t="e">
        <f t="shared" si="240"/>
        <v>#REF!</v>
      </c>
      <c r="P378" s="115" t="e">
        <f t="shared" si="240"/>
        <v>#REF!</v>
      </c>
      <c r="Q378" s="115" t="e">
        <f t="shared" si="240"/>
        <v>#REF!</v>
      </c>
    </row>
    <row r="379" spans="1:17" s="36" customFormat="1" x14ac:dyDescent="0.25">
      <c r="A379" s="111">
        <f t="shared" si="235"/>
        <v>1110</v>
      </c>
      <c r="B379" s="111" t="str">
        <f t="shared" si="235"/>
        <v>4th Grade Teacher</v>
      </c>
      <c r="D379" s="111">
        <f t="shared" si="226"/>
        <v>50000</v>
      </c>
      <c r="F379" s="115" t="e">
        <f t="shared" ref="F379:Q379" si="241">$D379*(1+E$5)*F251</f>
        <v>#REF!</v>
      </c>
      <c r="G379" s="115" t="e">
        <f t="shared" si="241"/>
        <v>#REF!</v>
      </c>
      <c r="H379" s="115" t="e">
        <f t="shared" si="241"/>
        <v>#REF!</v>
      </c>
      <c r="I379" s="115" t="e">
        <f t="shared" si="241"/>
        <v>#REF!</v>
      </c>
      <c r="J379" s="115" t="e">
        <f t="shared" si="241"/>
        <v>#REF!</v>
      </c>
      <c r="K379" s="115" t="e">
        <f t="shared" si="241"/>
        <v>#REF!</v>
      </c>
      <c r="L379" s="115" t="e">
        <f t="shared" si="241"/>
        <v>#REF!</v>
      </c>
      <c r="M379" s="115" t="e">
        <f t="shared" si="241"/>
        <v>#REF!</v>
      </c>
      <c r="N379" s="115" t="e">
        <f t="shared" si="241"/>
        <v>#REF!</v>
      </c>
      <c r="O379" s="115" t="e">
        <f t="shared" si="241"/>
        <v>#REF!</v>
      </c>
      <c r="P379" s="115" t="e">
        <f t="shared" si="241"/>
        <v>#REF!</v>
      </c>
      <c r="Q379" s="115" t="e">
        <f t="shared" si="241"/>
        <v>#REF!</v>
      </c>
    </row>
    <row r="380" spans="1:17" s="36" customFormat="1" x14ac:dyDescent="0.25">
      <c r="A380" s="111">
        <f t="shared" si="235"/>
        <v>1110</v>
      </c>
      <c r="B380" s="111" t="str">
        <f t="shared" si="235"/>
        <v>4th Grade Teacher</v>
      </c>
      <c r="D380" s="111">
        <f t="shared" si="226"/>
        <v>50000</v>
      </c>
      <c r="F380" s="115" t="e">
        <f t="shared" ref="F380:Q380" si="242">$D380*(1+E$5)*F252</f>
        <v>#REF!</v>
      </c>
      <c r="G380" s="115" t="e">
        <f t="shared" si="242"/>
        <v>#REF!</v>
      </c>
      <c r="H380" s="115" t="e">
        <f t="shared" si="242"/>
        <v>#REF!</v>
      </c>
      <c r="I380" s="115" t="e">
        <f t="shared" si="242"/>
        <v>#REF!</v>
      </c>
      <c r="J380" s="115" t="e">
        <f t="shared" si="242"/>
        <v>#REF!</v>
      </c>
      <c r="K380" s="115" t="e">
        <f t="shared" si="242"/>
        <v>#REF!</v>
      </c>
      <c r="L380" s="115" t="e">
        <f t="shared" si="242"/>
        <v>#REF!</v>
      </c>
      <c r="M380" s="115" t="e">
        <f t="shared" si="242"/>
        <v>#REF!</v>
      </c>
      <c r="N380" s="115">
        <f t="shared" si="242"/>
        <v>0</v>
      </c>
      <c r="O380" s="115">
        <f t="shared" si="242"/>
        <v>0</v>
      </c>
      <c r="P380" s="115">
        <f t="shared" si="242"/>
        <v>0</v>
      </c>
      <c r="Q380" s="115">
        <f t="shared" si="242"/>
        <v>0</v>
      </c>
    </row>
    <row r="381" spans="1:17" s="36" customFormat="1" x14ac:dyDescent="0.25">
      <c r="A381" s="111">
        <f t="shared" si="235"/>
        <v>1110</v>
      </c>
      <c r="B381" s="111" t="str">
        <f t="shared" si="235"/>
        <v>4th Grade Teacher</v>
      </c>
      <c r="D381" s="111">
        <f t="shared" si="226"/>
        <v>50000</v>
      </c>
      <c r="F381" s="115" t="e">
        <f t="shared" ref="F381:Q381" si="243">$D381*(1+E$5)*F253</f>
        <v>#REF!</v>
      </c>
      <c r="G381" s="115" t="e">
        <f t="shared" si="243"/>
        <v>#REF!</v>
      </c>
      <c r="H381" s="115" t="e">
        <f t="shared" si="243"/>
        <v>#REF!</v>
      </c>
      <c r="I381" s="115" t="e">
        <f t="shared" si="243"/>
        <v>#REF!</v>
      </c>
      <c r="J381" s="115" t="e">
        <f t="shared" si="243"/>
        <v>#REF!</v>
      </c>
      <c r="K381" s="115" t="e">
        <f t="shared" si="243"/>
        <v>#REF!</v>
      </c>
      <c r="L381" s="115" t="e">
        <f t="shared" si="243"/>
        <v>#REF!</v>
      </c>
      <c r="M381" s="115" t="e">
        <f t="shared" si="243"/>
        <v>#REF!</v>
      </c>
      <c r="N381" s="115">
        <f t="shared" si="243"/>
        <v>0</v>
      </c>
      <c r="O381" s="115">
        <f t="shared" si="243"/>
        <v>0</v>
      </c>
      <c r="P381" s="115">
        <f t="shared" si="243"/>
        <v>0</v>
      </c>
      <c r="Q381" s="115">
        <f t="shared" si="243"/>
        <v>0</v>
      </c>
    </row>
    <row r="382" spans="1:17" s="36" customFormat="1" x14ac:dyDescent="0.25">
      <c r="A382" s="111">
        <f t="shared" si="235"/>
        <v>1110</v>
      </c>
      <c r="B382" s="111" t="str">
        <f t="shared" si="235"/>
        <v>4th Grade Teacher</v>
      </c>
      <c r="D382" s="111">
        <f t="shared" si="226"/>
        <v>50000</v>
      </c>
      <c r="F382" s="115" t="e">
        <f t="shared" ref="F382:Q382" si="244">$D382*(1+E$5)*F254</f>
        <v>#REF!</v>
      </c>
      <c r="G382" s="115" t="e">
        <f t="shared" si="244"/>
        <v>#REF!</v>
      </c>
      <c r="H382" s="115" t="e">
        <f t="shared" si="244"/>
        <v>#REF!</v>
      </c>
      <c r="I382" s="115" t="e">
        <f t="shared" si="244"/>
        <v>#REF!</v>
      </c>
      <c r="J382" s="115" t="e">
        <f t="shared" si="244"/>
        <v>#REF!</v>
      </c>
      <c r="K382" s="115" t="e">
        <f t="shared" si="244"/>
        <v>#REF!</v>
      </c>
      <c r="L382" s="115" t="e">
        <f t="shared" si="244"/>
        <v>#REF!</v>
      </c>
      <c r="M382" s="115">
        <f t="shared" si="244"/>
        <v>0</v>
      </c>
      <c r="N382" s="115">
        <f t="shared" si="244"/>
        <v>0</v>
      </c>
      <c r="O382" s="115">
        <f t="shared" si="244"/>
        <v>0</v>
      </c>
      <c r="P382" s="115">
        <f t="shared" si="244"/>
        <v>0</v>
      </c>
      <c r="Q382" s="115">
        <f t="shared" si="244"/>
        <v>0</v>
      </c>
    </row>
    <row r="383" spans="1:17" s="36" customFormat="1" x14ac:dyDescent="0.25">
      <c r="A383" s="111">
        <f t="shared" si="235"/>
        <v>2100</v>
      </c>
      <c r="B383" s="111" t="str">
        <f t="shared" si="235"/>
        <v>Elementary Enrichment Teacher</v>
      </c>
      <c r="D383" s="111">
        <f t="shared" si="226"/>
        <v>50000</v>
      </c>
      <c r="F383" s="115">
        <f t="shared" ref="F383:Q383" si="245">$D383*(1+E$5)*F255</f>
        <v>0</v>
      </c>
      <c r="G383" s="115">
        <f t="shared" si="245"/>
        <v>0</v>
      </c>
      <c r="H383" s="115">
        <f t="shared" si="245"/>
        <v>0</v>
      </c>
      <c r="I383" s="115">
        <f t="shared" si="245"/>
        <v>0</v>
      </c>
      <c r="J383" s="115">
        <f t="shared" si="245"/>
        <v>53000</v>
      </c>
      <c r="K383" s="115">
        <f t="shared" si="245"/>
        <v>54000</v>
      </c>
      <c r="L383" s="115">
        <f t="shared" si="245"/>
        <v>55000.000000000007</v>
      </c>
      <c r="M383" s="115">
        <f t="shared" si="245"/>
        <v>56000.000000000007</v>
      </c>
      <c r="N383" s="115">
        <f t="shared" si="245"/>
        <v>57000.000000000007</v>
      </c>
      <c r="O383" s="115">
        <f t="shared" si="245"/>
        <v>57999.999999999993</v>
      </c>
      <c r="P383" s="115">
        <f t="shared" si="245"/>
        <v>59000</v>
      </c>
      <c r="Q383" s="115">
        <f t="shared" si="245"/>
        <v>60000</v>
      </c>
    </row>
    <row r="384" spans="1:17" s="36" customFormat="1" x14ac:dyDescent="0.25">
      <c r="A384" s="111">
        <f t="shared" si="235"/>
        <v>2100</v>
      </c>
      <c r="B384" s="111" t="str">
        <f t="shared" si="235"/>
        <v>Elementary Enrichment Teacher</v>
      </c>
      <c r="D384" s="111">
        <f t="shared" si="226"/>
        <v>50000</v>
      </c>
      <c r="F384" s="115">
        <f t="shared" ref="F384:Q384" si="246">$D384*(1+E$5)*F256</f>
        <v>0</v>
      </c>
      <c r="G384" s="115">
        <f t="shared" si="246"/>
        <v>0</v>
      </c>
      <c r="H384" s="115">
        <f t="shared" si="246"/>
        <v>0</v>
      </c>
      <c r="I384" s="115">
        <f t="shared" si="246"/>
        <v>0</v>
      </c>
      <c r="J384" s="115">
        <f t="shared" si="246"/>
        <v>0</v>
      </c>
      <c r="K384" s="115">
        <f t="shared" si="246"/>
        <v>0</v>
      </c>
      <c r="L384" s="115">
        <f t="shared" si="246"/>
        <v>27500.000000000004</v>
      </c>
      <c r="M384" s="115">
        <f t="shared" si="246"/>
        <v>0</v>
      </c>
      <c r="N384" s="115">
        <f t="shared" si="246"/>
        <v>57000.000000000007</v>
      </c>
      <c r="O384" s="115">
        <f t="shared" si="246"/>
        <v>57999.999999999993</v>
      </c>
      <c r="P384" s="115">
        <f t="shared" si="246"/>
        <v>59000</v>
      </c>
      <c r="Q384" s="115">
        <f t="shared" si="246"/>
        <v>60000</v>
      </c>
    </row>
    <row r="385" spans="1:17" s="36" customFormat="1" x14ac:dyDescent="0.25">
      <c r="A385" s="111">
        <f t="shared" si="235"/>
        <v>2100</v>
      </c>
      <c r="B385" s="111" t="str">
        <f t="shared" si="235"/>
        <v>Elementary Enrichment Teacher</v>
      </c>
      <c r="D385" s="111">
        <f t="shared" si="226"/>
        <v>50000</v>
      </c>
      <c r="F385" s="115">
        <f t="shared" ref="F385:Q385" si="247">$D385*(1+E$5)*F257</f>
        <v>0</v>
      </c>
      <c r="G385" s="115">
        <f t="shared" si="247"/>
        <v>0</v>
      </c>
      <c r="H385" s="115">
        <f t="shared" si="247"/>
        <v>0</v>
      </c>
      <c r="I385" s="115">
        <f t="shared" si="247"/>
        <v>0</v>
      </c>
      <c r="J385" s="115">
        <f t="shared" si="247"/>
        <v>0</v>
      </c>
      <c r="K385" s="115">
        <f t="shared" si="247"/>
        <v>0</v>
      </c>
      <c r="L385" s="115">
        <f t="shared" si="247"/>
        <v>0</v>
      </c>
      <c r="M385" s="115">
        <f t="shared" si="247"/>
        <v>0</v>
      </c>
      <c r="N385" s="115">
        <f t="shared" si="247"/>
        <v>28500.000000000004</v>
      </c>
      <c r="O385" s="115">
        <f t="shared" si="247"/>
        <v>28999.999999999996</v>
      </c>
      <c r="P385" s="115">
        <f t="shared" si="247"/>
        <v>29500</v>
      </c>
      <c r="Q385" s="115">
        <f t="shared" si="247"/>
        <v>30000</v>
      </c>
    </row>
    <row r="386" spans="1:17" s="36" customFormat="1" x14ac:dyDescent="0.25">
      <c r="A386" s="111">
        <f t="shared" si="235"/>
        <v>1110</v>
      </c>
      <c r="B386" s="111" t="str">
        <f t="shared" si="235"/>
        <v>5th Grade Teacher</v>
      </c>
      <c r="D386" s="111">
        <f t="shared" si="226"/>
        <v>50000</v>
      </c>
      <c r="F386" s="115">
        <f t="shared" ref="F386:Q386" si="248">$D386*(1+E$5)*F258</f>
        <v>0</v>
      </c>
      <c r="G386" s="115">
        <f t="shared" si="248"/>
        <v>0</v>
      </c>
      <c r="H386" s="115">
        <f t="shared" si="248"/>
        <v>0</v>
      </c>
      <c r="I386" s="115">
        <f t="shared" si="248"/>
        <v>0</v>
      </c>
      <c r="J386" s="115">
        <f t="shared" si="248"/>
        <v>0</v>
      </c>
      <c r="K386" s="115">
        <f t="shared" si="248"/>
        <v>0</v>
      </c>
      <c r="L386" s="115">
        <f t="shared" si="248"/>
        <v>0</v>
      </c>
      <c r="M386" s="115">
        <f t="shared" si="248"/>
        <v>0</v>
      </c>
      <c r="N386" s="115">
        <f t="shared" si="248"/>
        <v>0</v>
      </c>
      <c r="O386" s="115">
        <f t="shared" si="248"/>
        <v>0</v>
      </c>
      <c r="P386" s="115">
        <f t="shared" si="248"/>
        <v>0</v>
      </c>
      <c r="Q386" s="115">
        <f t="shared" si="248"/>
        <v>0</v>
      </c>
    </row>
    <row r="387" spans="1:17" s="36" customFormat="1" x14ac:dyDescent="0.25">
      <c r="A387" s="111">
        <f t="shared" si="235"/>
        <v>1110</v>
      </c>
      <c r="B387" s="111" t="str">
        <f t="shared" si="235"/>
        <v>5th Grade Teacher</v>
      </c>
      <c r="D387" s="111">
        <f t="shared" si="226"/>
        <v>50000</v>
      </c>
      <c r="F387" s="115">
        <f t="shared" ref="F387:Q387" si="249">$D387*(1+E$5)*F259</f>
        <v>0</v>
      </c>
      <c r="G387" s="115">
        <f t="shared" si="249"/>
        <v>0</v>
      </c>
      <c r="H387" s="115">
        <f t="shared" si="249"/>
        <v>0</v>
      </c>
      <c r="I387" s="115">
        <f t="shared" si="249"/>
        <v>0</v>
      </c>
      <c r="J387" s="115">
        <f t="shared" si="249"/>
        <v>0</v>
      </c>
      <c r="K387" s="115">
        <f t="shared" si="249"/>
        <v>0</v>
      </c>
      <c r="L387" s="115">
        <f t="shared" si="249"/>
        <v>0</v>
      </c>
      <c r="M387" s="115">
        <f t="shared" si="249"/>
        <v>0</v>
      </c>
      <c r="N387" s="115">
        <f t="shared" si="249"/>
        <v>0</v>
      </c>
      <c r="O387" s="115">
        <f t="shared" si="249"/>
        <v>0</v>
      </c>
      <c r="P387" s="115">
        <f t="shared" si="249"/>
        <v>0</v>
      </c>
      <c r="Q387" s="115">
        <f t="shared" si="249"/>
        <v>0</v>
      </c>
    </row>
    <row r="388" spans="1:17" s="36" customFormat="1" x14ac:dyDescent="0.25">
      <c r="A388" s="111">
        <f t="shared" si="235"/>
        <v>1110</v>
      </c>
      <c r="B388" s="111" t="str">
        <f t="shared" si="235"/>
        <v>5th Grade Teacher</v>
      </c>
      <c r="D388" s="111">
        <f t="shared" si="226"/>
        <v>50000</v>
      </c>
      <c r="F388" s="115">
        <f t="shared" ref="F388:Q388" si="250">$D388*(1+E$5)*F260</f>
        <v>0</v>
      </c>
      <c r="G388" s="115">
        <f t="shared" si="250"/>
        <v>0</v>
      </c>
      <c r="H388" s="115">
        <f t="shared" si="250"/>
        <v>0</v>
      </c>
      <c r="I388" s="115">
        <f t="shared" si="250"/>
        <v>0</v>
      </c>
      <c r="J388" s="115">
        <f t="shared" si="250"/>
        <v>0</v>
      </c>
      <c r="K388" s="115">
        <f t="shared" si="250"/>
        <v>0</v>
      </c>
      <c r="L388" s="115">
        <f t="shared" si="250"/>
        <v>0</v>
      </c>
      <c r="M388" s="115">
        <f t="shared" si="250"/>
        <v>0</v>
      </c>
      <c r="N388" s="115">
        <f t="shared" si="250"/>
        <v>0</v>
      </c>
      <c r="O388" s="115">
        <f t="shared" si="250"/>
        <v>0</v>
      </c>
      <c r="P388" s="115">
        <f t="shared" si="250"/>
        <v>0</v>
      </c>
      <c r="Q388" s="115">
        <f t="shared" si="250"/>
        <v>0</v>
      </c>
    </row>
    <row r="389" spans="1:17" s="36" customFormat="1" x14ac:dyDescent="0.25">
      <c r="A389" s="111">
        <f t="shared" si="235"/>
        <v>1110</v>
      </c>
      <c r="B389" s="111" t="str">
        <f t="shared" si="235"/>
        <v>5th Grade Teacher</v>
      </c>
      <c r="D389" s="111">
        <f t="shared" si="226"/>
        <v>50000</v>
      </c>
      <c r="F389" s="115">
        <f t="shared" ref="F389:Q389" si="251">$D389*(1+E$5)*F261</f>
        <v>0</v>
      </c>
      <c r="G389" s="115">
        <f t="shared" si="251"/>
        <v>0</v>
      </c>
      <c r="H389" s="115">
        <f t="shared" si="251"/>
        <v>0</v>
      </c>
      <c r="I389" s="115">
        <f t="shared" si="251"/>
        <v>0</v>
      </c>
      <c r="J389" s="115">
        <f t="shared" si="251"/>
        <v>0</v>
      </c>
      <c r="K389" s="115">
        <f t="shared" si="251"/>
        <v>0</v>
      </c>
      <c r="L389" s="115">
        <f t="shared" si="251"/>
        <v>0</v>
      </c>
      <c r="M389" s="115">
        <f t="shared" si="251"/>
        <v>0</v>
      </c>
      <c r="N389" s="115">
        <f t="shared" si="251"/>
        <v>0</v>
      </c>
      <c r="O389" s="115">
        <f t="shared" si="251"/>
        <v>0</v>
      </c>
      <c r="P389" s="115">
        <f t="shared" si="251"/>
        <v>0</v>
      </c>
      <c r="Q389" s="115">
        <f t="shared" si="251"/>
        <v>0</v>
      </c>
    </row>
    <row r="390" spans="1:17" s="36" customFormat="1" x14ac:dyDescent="0.25">
      <c r="A390" s="111">
        <f t="shared" si="235"/>
        <v>1110</v>
      </c>
      <c r="B390" s="111" t="str">
        <f t="shared" si="235"/>
        <v>5th Grade Teacher</v>
      </c>
      <c r="D390" s="111">
        <f t="shared" si="226"/>
        <v>50000</v>
      </c>
      <c r="F390" s="115">
        <f t="shared" ref="F390:Q390" si="252">$D390*(1+E$5)*F262</f>
        <v>0</v>
      </c>
      <c r="G390" s="115">
        <f t="shared" si="252"/>
        <v>0</v>
      </c>
      <c r="H390" s="115">
        <f t="shared" si="252"/>
        <v>0</v>
      </c>
      <c r="I390" s="115">
        <f t="shared" si="252"/>
        <v>0</v>
      </c>
      <c r="J390" s="115">
        <f t="shared" si="252"/>
        <v>0</v>
      </c>
      <c r="K390" s="115">
        <f t="shared" si="252"/>
        <v>0</v>
      </c>
      <c r="L390" s="115">
        <f t="shared" si="252"/>
        <v>0</v>
      </c>
      <c r="M390" s="115">
        <f t="shared" si="252"/>
        <v>0</v>
      </c>
      <c r="N390" s="115">
        <f t="shared" si="252"/>
        <v>0</v>
      </c>
      <c r="O390" s="115">
        <f t="shared" si="252"/>
        <v>0</v>
      </c>
      <c r="P390" s="115">
        <f t="shared" si="252"/>
        <v>0</v>
      </c>
      <c r="Q390" s="115">
        <f t="shared" si="252"/>
        <v>0</v>
      </c>
    </row>
    <row r="391" spans="1:17" s="36" customFormat="1" x14ac:dyDescent="0.25">
      <c r="A391" s="111">
        <f t="shared" si="235"/>
        <v>1110</v>
      </c>
      <c r="B391" s="111" t="str">
        <f t="shared" si="235"/>
        <v>6th Grade Teacher</v>
      </c>
      <c r="D391" s="111">
        <f t="shared" si="226"/>
        <v>50000</v>
      </c>
      <c r="F391" s="115">
        <f t="shared" ref="F391:Q391" si="253">$D391*(1+E$5)*F263</f>
        <v>0</v>
      </c>
      <c r="G391" s="115">
        <f t="shared" si="253"/>
        <v>0</v>
      </c>
      <c r="H391" s="115">
        <f t="shared" si="253"/>
        <v>0</v>
      </c>
      <c r="I391" s="115">
        <f t="shared" si="253"/>
        <v>0</v>
      </c>
      <c r="J391" s="115">
        <f t="shared" si="253"/>
        <v>0</v>
      </c>
      <c r="K391" s="115">
        <f t="shared" si="253"/>
        <v>0</v>
      </c>
      <c r="L391" s="115">
        <f t="shared" si="253"/>
        <v>0</v>
      </c>
      <c r="M391" s="115">
        <f t="shared" si="253"/>
        <v>0</v>
      </c>
      <c r="N391" s="115">
        <f t="shared" si="253"/>
        <v>0</v>
      </c>
      <c r="O391" s="115">
        <f t="shared" si="253"/>
        <v>0</v>
      </c>
      <c r="P391" s="115">
        <f t="shared" si="253"/>
        <v>0</v>
      </c>
      <c r="Q391" s="115">
        <f t="shared" si="253"/>
        <v>0</v>
      </c>
    </row>
    <row r="392" spans="1:17" s="36" customFormat="1" x14ac:dyDescent="0.25">
      <c r="A392" s="111">
        <f t="shared" si="235"/>
        <v>1110</v>
      </c>
      <c r="B392" s="111" t="str">
        <f t="shared" si="235"/>
        <v>6th Grade Teacher</v>
      </c>
      <c r="D392" s="111">
        <f t="shared" si="226"/>
        <v>50000</v>
      </c>
      <c r="F392" s="115">
        <f t="shared" ref="F392:Q392" si="254">$D392*(1+E$5)*F264</f>
        <v>0</v>
      </c>
      <c r="G392" s="115">
        <f t="shared" si="254"/>
        <v>0</v>
      </c>
      <c r="H392" s="115">
        <f t="shared" si="254"/>
        <v>0</v>
      </c>
      <c r="I392" s="115">
        <f t="shared" si="254"/>
        <v>0</v>
      </c>
      <c r="J392" s="115">
        <f t="shared" si="254"/>
        <v>0</v>
      </c>
      <c r="K392" s="115">
        <f t="shared" si="254"/>
        <v>0</v>
      </c>
      <c r="L392" s="115">
        <f t="shared" si="254"/>
        <v>0</v>
      </c>
      <c r="M392" s="115">
        <f t="shared" si="254"/>
        <v>0</v>
      </c>
      <c r="N392" s="115">
        <f t="shared" si="254"/>
        <v>0</v>
      </c>
      <c r="O392" s="115">
        <f t="shared" si="254"/>
        <v>0</v>
      </c>
      <c r="P392" s="115">
        <f t="shared" si="254"/>
        <v>0</v>
      </c>
      <c r="Q392" s="115">
        <f t="shared" si="254"/>
        <v>0</v>
      </c>
    </row>
    <row r="393" spans="1:17" s="36" customFormat="1" x14ac:dyDescent="0.25">
      <c r="A393" s="111">
        <f t="shared" si="235"/>
        <v>1110</v>
      </c>
      <c r="B393" s="111" t="str">
        <f t="shared" si="235"/>
        <v>6th Grade Teacher</v>
      </c>
      <c r="D393" s="111">
        <f t="shared" si="226"/>
        <v>50000</v>
      </c>
      <c r="F393" s="115">
        <f t="shared" ref="F393:Q393" si="255">$D393*(1+E$5)*F265</f>
        <v>0</v>
      </c>
      <c r="G393" s="115">
        <f t="shared" si="255"/>
        <v>0</v>
      </c>
      <c r="H393" s="115">
        <f t="shared" si="255"/>
        <v>0</v>
      </c>
      <c r="I393" s="115">
        <f t="shared" si="255"/>
        <v>0</v>
      </c>
      <c r="J393" s="115">
        <f t="shared" si="255"/>
        <v>0</v>
      </c>
      <c r="K393" s="115">
        <f t="shared" si="255"/>
        <v>0</v>
      </c>
      <c r="L393" s="115">
        <f t="shared" si="255"/>
        <v>0</v>
      </c>
      <c r="M393" s="115">
        <f t="shared" si="255"/>
        <v>0</v>
      </c>
      <c r="N393" s="115">
        <f t="shared" si="255"/>
        <v>0</v>
      </c>
      <c r="O393" s="115">
        <f t="shared" si="255"/>
        <v>0</v>
      </c>
      <c r="P393" s="115">
        <f t="shared" si="255"/>
        <v>0</v>
      </c>
      <c r="Q393" s="115">
        <f t="shared" si="255"/>
        <v>0</v>
      </c>
    </row>
    <row r="394" spans="1:17" s="36" customFormat="1" x14ac:dyDescent="0.25">
      <c r="A394" s="111">
        <f t="shared" ref="A394:B413" si="256">A266</f>
        <v>1110</v>
      </c>
      <c r="B394" s="111" t="str">
        <f t="shared" si="256"/>
        <v>6th Grade Teacher</v>
      </c>
      <c r="D394" s="111">
        <f t="shared" si="226"/>
        <v>50000</v>
      </c>
      <c r="F394" s="115">
        <f t="shared" ref="F394:Q394" si="257">$D394*(1+E$5)*F266</f>
        <v>0</v>
      </c>
      <c r="G394" s="115">
        <f t="shared" si="257"/>
        <v>0</v>
      </c>
      <c r="H394" s="115">
        <f t="shared" si="257"/>
        <v>0</v>
      </c>
      <c r="I394" s="115">
        <f t="shared" si="257"/>
        <v>0</v>
      </c>
      <c r="J394" s="115">
        <f t="shared" si="257"/>
        <v>0</v>
      </c>
      <c r="K394" s="115">
        <f t="shared" si="257"/>
        <v>0</v>
      </c>
      <c r="L394" s="115">
        <f t="shared" si="257"/>
        <v>0</v>
      </c>
      <c r="M394" s="115">
        <f t="shared" si="257"/>
        <v>0</v>
      </c>
      <c r="N394" s="115">
        <f t="shared" si="257"/>
        <v>0</v>
      </c>
      <c r="O394" s="115">
        <f t="shared" si="257"/>
        <v>0</v>
      </c>
      <c r="P394" s="115">
        <f t="shared" si="257"/>
        <v>0</v>
      </c>
      <c r="Q394" s="115">
        <f t="shared" si="257"/>
        <v>0</v>
      </c>
    </row>
    <row r="395" spans="1:17" s="36" customFormat="1" x14ac:dyDescent="0.25">
      <c r="A395" s="111">
        <f t="shared" si="256"/>
        <v>1110</v>
      </c>
      <c r="B395" s="111" t="str">
        <f t="shared" si="256"/>
        <v>7th Grade Teacher</v>
      </c>
      <c r="D395" s="111">
        <f t="shared" si="226"/>
        <v>50000</v>
      </c>
      <c r="F395" s="115">
        <f t="shared" ref="F395:Q395" si="258">$D395*(1+E$5)*F267</f>
        <v>0</v>
      </c>
      <c r="G395" s="115">
        <f t="shared" si="258"/>
        <v>0</v>
      </c>
      <c r="H395" s="115">
        <f t="shared" si="258"/>
        <v>0</v>
      </c>
      <c r="I395" s="115">
        <f t="shared" si="258"/>
        <v>0</v>
      </c>
      <c r="J395" s="115">
        <f t="shared" si="258"/>
        <v>0</v>
      </c>
      <c r="K395" s="115">
        <f t="shared" si="258"/>
        <v>0</v>
      </c>
      <c r="L395" s="115">
        <f t="shared" si="258"/>
        <v>0</v>
      </c>
      <c r="M395" s="115">
        <f t="shared" si="258"/>
        <v>0</v>
      </c>
      <c r="N395" s="115">
        <f t="shared" si="258"/>
        <v>0</v>
      </c>
      <c r="O395" s="115">
        <f t="shared" si="258"/>
        <v>0</v>
      </c>
      <c r="P395" s="115">
        <f t="shared" si="258"/>
        <v>0</v>
      </c>
      <c r="Q395" s="115">
        <f t="shared" si="258"/>
        <v>0</v>
      </c>
    </row>
    <row r="396" spans="1:17" s="36" customFormat="1" x14ac:dyDescent="0.25">
      <c r="A396" s="111">
        <f t="shared" si="256"/>
        <v>1110</v>
      </c>
      <c r="B396" s="111" t="str">
        <f t="shared" si="256"/>
        <v>7th Grade Teacher</v>
      </c>
      <c r="D396" s="111">
        <f t="shared" si="226"/>
        <v>50000</v>
      </c>
      <c r="F396" s="115">
        <f t="shared" ref="F396:Q396" si="259">$D396*(1+E$5)*F268</f>
        <v>0</v>
      </c>
      <c r="G396" s="115">
        <f t="shared" si="259"/>
        <v>0</v>
      </c>
      <c r="H396" s="115">
        <f t="shared" si="259"/>
        <v>0</v>
      </c>
      <c r="I396" s="115">
        <f t="shared" si="259"/>
        <v>0</v>
      </c>
      <c r="J396" s="115">
        <f t="shared" si="259"/>
        <v>0</v>
      </c>
      <c r="K396" s="115">
        <f t="shared" si="259"/>
        <v>0</v>
      </c>
      <c r="L396" s="115">
        <f t="shared" si="259"/>
        <v>0</v>
      </c>
      <c r="M396" s="115">
        <f t="shared" si="259"/>
        <v>0</v>
      </c>
      <c r="N396" s="115">
        <f t="shared" si="259"/>
        <v>0</v>
      </c>
      <c r="O396" s="115">
        <f t="shared" si="259"/>
        <v>0</v>
      </c>
      <c r="P396" s="115">
        <f t="shared" si="259"/>
        <v>0</v>
      </c>
      <c r="Q396" s="115">
        <f t="shared" si="259"/>
        <v>0</v>
      </c>
    </row>
    <row r="397" spans="1:17" s="36" customFormat="1" x14ac:dyDescent="0.25">
      <c r="A397" s="111">
        <f t="shared" si="256"/>
        <v>1110</v>
      </c>
      <c r="B397" s="111" t="str">
        <f t="shared" si="256"/>
        <v>7th Grade Teacher</v>
      </c>
      <c r="D397" s="111">
        <f t="shared" si="226"/>
        <v>50000</v>
      </c>
      <c r="F397" s="115">
        <f t="shared" ref="F397:Q397" si="260">$D397*(1+E$5)*F269</f>
        <v>0</v>
      </c>
      <c r="G397" s="115">
        <f t="shared" si="260"/>
        <v>0</v>
      </c>
      <c r="H397" s="115">
        <f t="shared" si="260"/>
        <v>0</v>
      </c>
      <c r="I397" s="115">
        <f t="shared" si="260"/>
        <v>0</v>
      </c>
      <c r="J397" s="115">
        <f t="shared" si="260"/>
        <v>0</v>
      </c>
      <c r="K397" s="115">
        <f t="shared" si="260"/>
        <v>0</v>
      </c>
      <c r="L397" s="115">
        <f t="shared" si="260"/>
        <v>0</v>
      </c>
      <c r="M397" s="115">
        <f t="shared" si="260"/>
        <v>0</v>
      </c>
      <c r="N397" s="115">
        <f t="shared" si="260"/>
        <v>0</v>
      </c>
      <c r="O397" s="115">
        <f t="shared" si="260"/>
        <v>0</v>
      </c>
      <c r="P397" s="115">
        <f t="shared" si="260"/>
        <v>0</v>
      </c>
      <c r="Q397" s="115">
        <f t="shared" si="260"/>
        <v>0</v>
      </c>
    </row>
    <row r="398" spans="1:17" s="36" customFormat="1" x14ac:dyDescent="0.25">
      <c r="A398" s="111">
        <f t="shared" si="256"/>
        <v>1110</v>
      </c>
      <c r="B398" s="111" t="str">
        <f t="shared" si="256"/>
        <v>7th Grade Teacher</v>
      </c>
      <c r="D398" s="111">
        <f t="shared" ref="D398:D429" si="261">D270</f>
        <v>50000</v>
      </c>
      <c r="F398" s="115">
        <f t="shared" ref="F398:Q398" si="262">$D398*(1+E$5)*F270</f>
        <v>0</v>
      </c>
      <c r="G398" s="115">
        <f t="shared" si="262"/>
        <v>0</v>
      </c>
      <c r="H398" s="115">
        <f t="shared" si="262"/>
        <v>0</v>
      </c>
      <c r="I398" s="115">
        <f t="shared" si="262"/>
        <v>0</v>
      </c>
      <c r="J398" s="115">
        <f t="shared" si="262"/>
        <v>0</v>
      </c>
      <c r="K398" s="115">
        <f t="shared" si="262"/>
        <v>0</v>
      </c>
      <c r="L398" s="115">
        <f t="shared" si="262"/>
        <v>0</v>
      </c>
      <c r="M398" s="115">
        <f t="shared" si="262"/>
        <v>0</v>
      </c>
      <c r="N398" s="115">
        <f t="shared" si="262"/>
        <v>0</v>
      </c>
      <c r="O398" s="115">
        <f t="shared" si="262"/>
        <v>0</v>
      </c>
      <c r="P398" s="115">
        <f t="shared" si="262"/>
        <v>0</v>
      </c>
      <c r="Q398" s="115">
        <f t="shared" si="262"/>
        <v>0</v>
      </c>
    </row>
    <row r="399" spans="1:17" s="36" customFormat="1" x14ac:dyDescent="0.25">
      <c r="A399" s="111">
        <f t="shared" si="256"/>
        <v>1110</v>
      </c>
      <c r="B399" s="111" t="str">
        <f t="shared" si="256"/>
        <v>7th Grade Teacher</v>
      </c>
      <c r="D399" s="111">
        <f t="shared" si="261"/>
        <v>50000</v>
      </c>
      <c r="F399" s="115">
        <f t="shared" ref="F399:Q399" si="263">$D399*(1+E$5)*F271</f>
        <v>0</v>
      </c>
      <c r="G399" s="115">
        <f t="shared" si="263"/>
        <v>0</v>
      </c>
      <c r="H399" s="115">
        <f t="shared" si="263"/>
        <v>0</v>
      </c>
      <c r="I399" s="115">
        <f t="shared" si="263"/>
        <v>0</v>
      </c>
      <c r="J399" s="115">
        <f t="shared" si="263"/>
        <v>0</v>
      </c>
      <c r="K399" s="115">
        <f t="shared" si="263"/>
        <v>0</v>
      </c>
      <c r="L399" s="115">
        <f t="shared" si="263"/>
        <v>0</v>
      </c>
      <c r="M399" s="115">
        <f t="shared" si="263"/>
        <v>0</v>
      </c>
      <c r="N399" s="115">
        <f t="shared" si="263"/>
        <v>0</v>
      </c>
      <c r="O399" s="115">
        <f t="shared" si="263"/>
        <v>0</v>
      </c>
      <c r="P399" s="115">
        <f t="shared" si="263"/>
        <v>0</v>
      </c>
      <c r="Q399" s="115">
        <f t="shared" si="263"/>
        <v>0</v>
      </c>
    </row>
    <row r="400" spans="1:17" s="36" customFormat="1" x14ac:dyDescent="0.25">
      <c r="A400" s="111">
        <f t="shared" si="256"/>
        <v>1110</v>
      </c>
      <c r="B400" s="111" t="str">
        <f t="shared" si="256"/>
        <v>8th Grade Teacher</v>
      </c>
      <c r="D400" s="111">
        <f t="shared" si="261"/>
        <v>50000</v>
      </c>
      <c r="F400" s="115">
        <f t="shared" ref="F400:Q400" si="264">$D400*(1+E$5)*F272</f>
        <v>0</v>
      </c>
      <c r="G400" s="115">
        <f t="shared" si="264"/>
        <v>0</v>
      </c>
      <c r="H400" s="115">
        <f t="shared" si="264"/>
        <v>0</v>
      </c>
      <c r="I400" s="115">
        <f t="shared" si="264"/>
        <v>0</v>
      </c>
      <c r="J400" s="115">
        <f t="shared" si="264"/>
        <v>0</v>
      </c>
      <c r="K400" s="115">
        <f t="shared" si="264"/>
        <v>0</v>
      </c>
      <c r="L400" s="115">
        <f t="shared" si="264"/>
        <v>0</v>
      </c>
      <c r="M400" s="115">
        <f t="shared" si="264"/>
        <v>0</v>
      </c>
      <c r="N400" s="115">
        <f t="shared" si="264"/>
        <v>0</v>
      </c>
      <c r="O400" s="115">
        <f t="shared" si="264"/>
        <v>0</v>
      </c>
      <c r="P400" s="115">
        <f t="shared" si="264"/>
        <v>0</v>
      </c>
      <c r="Q400" s="115">
        <f t="shared" si="264"/>
        <v>0</v>
      </c>
    </row>
    <row r="401" spans="1:17" s="36" customFormat="1" x14ac:dyDescent="0.25">
      <c r="A401" s="111">
        <f t="shared" si="256"/>
        <v>1110</v>
      </c>
      <c r="B401" s="111" t="str">
        <f t="shared" si="256"/>
        <v>8th Grade Teacher</v>
      </c>
      <c r="D401" s="111">
        <f t="shared" si="261"/>
        <v>50000</v>
      </c>
      <c r="F401" s="115">
        <f t="shared" ref="F401:Q401" si="265">$D401*(1+E$5)*F273</f>
        <v>0</v>
      </c>
      <c r="G401" s="115">
        <f t="shared" si="265"/>
        <v>0</v>
      </c>
      <c r="H401" s="115">
        <f t="shared" si="265"/>
        <v>0</v>
      </c>
      <c r="I401" s="115">
        <f t="shared" si="265"/>
        <v>0</v>
      </c>
      <c r="J401" s="115">
        <f t="shared" si="265"/>
        <v>0</v>
      </c>
      <c r="K401" s="115">
        <f t="shared" si="265"/>
        <v>0</v>
      </c>
      <c r="L401" s="115">
        <f t="shared" si="265"/>
        <v>0</v>
      </c>
      <c r="M401" s="115">
        <f t="shared" si="265"/>
        <v>0</v>
      </c>
      <c r="N401" s="115">
        <f t="shared" si="265"/>
        <v>0</v>
      </c>
      <c r="O401" s="115">
        <f t="shared" si="265"/>
        <v>0</v>
      </c>
      <c r="P401" s="115">
        <f t="shared" si="265"/>
        <v>0</v>
      </c>
      <c r="Q401" s="115">
        <f t="shared" si="265"/>
        <v>0</v>
      </c>
    </row>
    <row r="402" spans="1:17" s="36" customFormat="1" x14ac:dyDescent="0.25">
      <c r="A402" s="111">
        <f t="shared" si="256"/>
        <v>1110</v>
      </c>
      <c r="B402" s="111" t="str">
        <f t="shared" si="256"/>
        <v>8th Grade Teacher</v>
      </c>
      <c r="D402" s="111">
        <f t="shared" si="261"/>
        <v>50000</v>
      </c>
      <c r="F402" s="115">
        <f t="shared" ref="F402:Q402" si="266">$D402*(1+E$5)*F274</f>
        <v>0</v>
      </c>
      <c r="G402" s="115">
        <f t="shared" si="266"/>
        <v>0</v>
      </c>
      <c r="H402" s="115">
        <f t="shared" si="266"/>
        <v>0</v>
      </c>
      <c r="I402" s="115">
        <f t="shared" si="266"/>
        <v>0</v>
      </c>
      <c r="J402" s="115">
        <f t="shared" si="266"/>
        <v>0</v>
      </c>
      <c r="K402" s="115">
        <f t="shared" si="266"/>
        <v>0</v>
      </c>
      <c r="L402" s="115">
        <f t="shared" si="266"/>
        <v>0</v>
      </c>
      <c r="M402" s="115">
        <f t="shared" si="266"/>
        <v>0</v>
      </c>
      <c r="N402" s="115">
        <f t="shared" si="266"/>
        <v>0</v>
      </c>
      <c r="O402" s="115">
        <f t="shared" si="266"/>
        <v>0</v>
      </c>
      <c r="P402" s="115">
        <f t="shared" si="266"/>
        <v>0</v>
      </c>
      <c r="Q402" s="115">
        <f t="shared" si="266"/>
        <v>0</v>
      </c>
    </row>
    <row r="403" spans="1:17" s="36" customFormat="1" x14ac:dyDescent="0.25">
      <c r="A403" s="111">
        <f t="shared" si="256"/>
        <v>1110</v>
      </c>
      <c r="B403" s="111" t="str">
        <f t="shared" si="256"/>
        <v>8th Grade Teacher</v>
      </c>
      <c r="D403" s="111">
        <f t="shared" si="261"/>
        <v>50000</v>
      </c>
      <c r="F403" s="115">
        <f t="shared" ref="F403:Q403" si="267">$D403*(1+E$5)*F275</f>
        <v>0</v>
      </c>
      <c r="G403" s="115">
        <f t="shared" si="267"/>
        <v>0</v>
      </c>
      <c r="H403" s="115">
        <f t="shared" si="267"/>
        <v>0</v>
      </c>
      <c r="I403" s="115">
        <f t="shared" si="267"/>
        <v>0</v>
      </c>
      <c r="J403" s="115">
        <f t="shared" si="267"/>
        <v>0</v>
      </c>
      <c r="K403" s="115">
        <f t="shared" si="267"/>
        <v>0</v>
      </c>
      <c r="L403" s="115">
        <f t="shared" si="267"/>
        <v>0</v>
      </c>
      <c r="M403" s="115">
        <f t="shared" si="267"/>
        <v>0</v>
      </c>
      <c r="N403" s="115">
        <f t="shared" si="267"/>
        <v>0</v>
      </c>
      <c r="O403" s="115">
        <f t="shared" si="267"/>
        <v>0</v>
      </c>
      <c r="P403" s="115">
        <f t="shared" si="267"/>
        <v>0</v>
      </c>
      <c r="Q403" s="115">
        <f t="shared" si="267"/>
        <v>0</v>
      </c>
    </row>
    <row r="404" spans="1:17" s="36" customFormat="1" x14ac:dyDescent="0.25">
      <c r="A404" s="111">
        <f t="shared" si="256"/>
        <v>1110</v>
      </c>
      <c r="B404" s="111" t="str">
        <f t="shared" si="256"/>
        <v>8th Grade Teacher</v>
      </c>
      <c r="D404" s="111">
        <f t="shared" si="261"/>
        <v>50000</v>
      </c>
      <c r="F404" s="115">
        <f t="shared" ref="F404:Q404" si="268">$D404*(1+E$5)*F276</f>
        <v>0</v>
      </c>
      <c r="G404" s="115">
        <f t="shared" si="268"/>
        <v>0</v>
      </c>
      <c r="H404" s="115">
        <f t="shared" si="268"/>
        <v>0</v>
      </c>
      <c r="I404" s="115">
        <f t="shared" si="268"/>
        <v>0</v>
      </c>
      <c r="J404" s="115">
        <f t="shared" si="268"/>
        <v>0</v>
      </c>
      <c r="K404" s="115">
        <f t="shared" si="268"/>
        <v>0</v>
      </c>
      <c r="L404" s="115">
        <f t="shared" si="268"/>
        <v>0</v>
      </c>
      <c r="M404" s="115">
        <f t="shared" si="268"/>
        <v>0</v>
      </c>
      <c r="N404" s="115">
        <f t="shared" si="268"/>
        <v>0</v>
      </c>
      <c r="O404" s="115">
        <f t="shared" si="268"/>
        <v>0</v>
      </c>
      <c r="P404" s="115">
        <f t="shared" si="268"/>
        <v>0</v>
      </c>
      <c r="Q404" s="115">
        <f t="shared" si="268"/>
        <v>0</v>
      </c>
    </row>
    <row r="405" spans="1:17" s="36" customFormat="1" x14ac:dyDescent="0.25">
      <c r="A405" s="111">
        <f t="shared" si="256"/>
        <v>2100</v>
      </c>
      <c r="B405" s="111" t="str">
        <f t="shared" si="256"/>
        <v xml:space="preserve">Enrichment Teacher - Middle </v>
      </c>
      <c r="D405" s="111">
        <f t="shared" si="261"/>
        <v>50000</v>
      </c>
      <c r="F405" s="115">
        <f t="shared" ref="F405:Q405" si="269">$D405*(1+E$5)*F277</f>
        <v>0</v>
      </c>
      <c r="G405" s="115">
        <f t="shared" si="269"/>
        <v>0</v>
      </c>
      <c r="H405" s="115">
        <f t="shared" si="269"/>
        <v>0</v>
      </c>
      <c r="I405" s="115">
        <f t="shared" si="269"/>
        <v>0</v>
      </c>
      <c r="J405" s="115">
        <f t="shared" si="269"/>
        <v>0</v>
      </c>
      <c r="K405" s="115">
        <f t="shared" si="269"/>
        <v>0</v>
      </c>
      <c r="L405" s="115">
        <f t="shared" si="269"/>
        <v>0</v>
      </c>
      <c r="M405" s="115">
        <f t="shared" si="269"/>
        <v>0</v>
      </c>
      <c r="N405" s="115">
        <f t="shared" si="269"/>
        <v>0</v>
      </c>
      <c r="O405" s="115">
        <f t="shared" si="269"/>
        <v>0</v>
      </c>
      <c r="P405" s="115">
        <f t="shared" si="269"/>
        <v>0</v>
      </c>
      <c r="Q405" s="115">
        <f t="shared" si="269"/>
        <v>0</v>
      </c>
    </row>
    <row r="406" spans="1:17" s="36" customFormat="1" x14ac:dyDescent="0.25">
      <c r="A406" s="111">
        <f t="shared" si="256"/>
        <v>2100</v>
      </c>
      <c r="B406" s="111" t="str">
        <f t="shared" si="256"/>
        <v xml:space="preserve">Enrichment Teacher - Middle </v>
      </c>
      <c r="D406" s="111">
        <f t="shared" si="261"/>
        <v>50000</v>
      </c>
      <c r="F406" s="115">
        <f t="shared" ref="F406:Q406" si="270">$D406*(1+E$5)*F278</f>
        <v>0</v>
      </c>
      <c r="G406" s="115">
        <f t="shared" si="270"/>
        <v>0</v>
      </c>
      <c r="H406" s="115">
        <f t="shared" si="270"/>
        <v>0</v>
      </c>
      <c r="I406" s="115">
        <f t="shared" si="270"/>
        <v>0</v>
      </c>
      <c r="J406" s="115">
        <f t="shared" si="270"/>
        <v>0</v>
      </c>
      <c r="K406" s="115">
        <f t="shared" si="270"/>
        <v>0</v>
      </c>
      <c r="L406" s="115">
        <f t="shared" si="270"/>
        <v>0</v>
      </c>
      <c r="M406" s="115">
        <f t="shared" si="270"/>
        <v>0</v>
      </c>
      <c r="N406" s="115">
        <f t="shared" si="270"/>
        <v>0</v>
      </c>
      <c r="O406" s="115">
        <f t="shared" si="270"/>
        <v>0</v>
      </c>
      <c r="P406" s="115">
        <f t="shared" si="270"/>
        <v>0</v>
      </c>
      <c r="Q406" s="115">
        <f t="shared" si="270"/>
        <v>0</v>
      </c>
    </row>
    <row r="407" spans="1:17" s="36" customFormat="1" x14ac:dyDescent="0.25">
      <c r="A407" s="111">
        <f t="shared" si="256"/>
        <v>2200</v>
      </c>
      <c r="B407" s="111" t="str">
        <f t="shared" si="256"/>
        <v>Lunch Leader/Nutrition</v>
      </c>
      <c r="D407" s="111">
        <f t="shared" si="261"/>
        <v>11830</v>
      </c>
      <c r="F407" s="115">
        <f t="shared" ref="F407:Q407" si="271">$D407*(1+E$5)*F279</f>
        <v>0</v>
      </c>
      <c r="G407" s="115">
        <f t="shared" si="271"/>
        <v>0</v>
      </c>
      <c r="H407" s="115">
        <f t="shared" si="271"/>
        <v>0</v>
      </c>
      <c r="I407" s="115">
        <f t="shared" si="271"/>
        <v>12303.2</v>
      </c>
      <c r="J407" s="115">
        <f t="shared" si="271"/>
        <v>12539.800000000001</v>
      </c>
      <c r="K407" s="115">
        <f t="shared" si="271"/>
        <v>12776.400000000001</v>
      </c>
      <c r="L407" s="115">
        <f t="shared" si="271"/>
        <v>13013.000000000002</v>
      </c>
      <c r="M407" s="115">
        <f t="shared" si="271"/>
        <v>13249.6</v>
      </c>
      <c r="N407" s="115">
        <f t="shared" si="271"/>
        <v>13486.2</v>
      </c>
      <c r="O407" s="115">
        <f t="shared" si="271"/>
        <v>13722.8</v>
      </c>
      <c r="P407" s="115">
        <f t="shared" si="271"/>
        <v>13959.4</v>
      </c>
      <c r="Q407" s="115">
        <f t="shared" si="271"/>
        <v>14196</v>
      </c>
    </row>
    <row r="408" spans="1:17" s="36" customFormat="1" x14ac:dyDescent="0.25">
      <c r="A408" s="111">
        <f t="shared" si="256"/>
        <v>2200</v>
      </c>
      <c r="B408" s="111" t="str">
        <f t="shared" si="256"/>
        <v>Lunch Leader/Nutrition</v>
      </c>
      <c r="D408" s="111">
        <f t="shared" si="261"/>
        <v>11830</v>
      </c>
      <c r="F408" s="115">
        <f t="shared" ref="F408:Q408" si="272">$D408*(1+E$5)*F280</f>
        <v>0</v>
      </c>
      <c r="G408" s="115">
        <f t="shared" si="272"/>
        <v>0</v>
      </c>
      <c r="H408" s="115">
        <f t="shared" si="272"/>
        <v>0</v>
      </c>
      <c r="I408" s="115">
        <f t="shared" si="272"/>
        <v>0</v>
      </c>
      <c r="J408" s="115">
        <f t="shared" si="272"/>
        <v>6269.9000000000005</v>
      </c>
      <c r="K408" s="115">
        <f t="shared" si="272"/>
        <v>12776.400000000001</v>
      </c>
      <c r="L408" s="115">
        <f t="shared" si="272"/>
        <v>13013.000000000002</v>
      </c>
      <c r="M408" s="115">
        <f t="shared" si="272"/>
        <v>13249.6</v>
      </c>
      <c r="N408" s="115">
        <f t="shared" si="272"/>
        <v>13486.2</v>
      </c>
      <c r="O408" s="115">
        <f t="shared" si="272"/>
        <v>13722.8</v>
      </c>
      <c r="P408" s="115">
        <f t="shared" si="272"/>
        <v>13959.4</v>
      </c>
      <c r="Q408" s="115">
        <f t="shared" si="272"/>
        <v>14196</v>
      </c>
    </row>
    <row r="409" spans="1:17" s="36" customFormat="1" x14ac:dyDescent="0.25">
      <c r="A409" s="111">
        <f t="shared" si="256"/>
        <v>2200</v>
      </c>
      <c r="B409" s="111" t="str">
        <f t="shared" si="256"/>
        <v>Lunch Leader/Nutrition</v>
      </c>
      <c r="D409" s="111">
        <f t="shared" si="261"/>
        <v>11830</v>
      </c>
      <c r="F409" s="115">
        <f t="shared" ref="F409:Q409" si="273">$D409*(1+E$5)*F281</f>
        <v>0</v>
      </c>
      <c r="G409" s="115">
        <f t="shared" si="273"/>
        <v>0</v>
      </c>
      <c r="H409" s="115">
        <f t="shared" si="273"/>
        <v>0</v>
      </c>
      <c r="I409" s="115">
        <f t="shared" si="273"/>
        <v>0</v>
      </c>
      <c r="J409" s="115">
        <f t="shared" si="273"/>
        <v>0</v>
      </c>
      <c r="K409" s="115">
        <f t="shared" si="273"/>
        <v>0</v>
      </c>
      <c r="L409" s="115">
        <f t="shared" si="273"/>
        <v>6506.5000000000009</v>
      </c>
      <c r="M409" s="115">
        <f t="shared" si="273"/>
        <v>13249.6</v>
      </c>
      <c r="N409" s="115">
        <f t="shared" si="273"/>
        <v>13486.2</v>
      </c>
      <c r="O409" s="115">
        <f t="shared" si="273"/>
        <v>13722.8</v>
      </c>
      <c r="P409" s="115">
        <f t="shared" si="273"/>
        <v>13959.4</v>
      </c>
      <c r="Q409" s="115">
        <f t="shared" si="273"/>
        <v>14196</v>
      </c>
    </row>
    <row r="410" spans="1:17" s="36" customFormat="1" x14ac:dyDescent="0.25">
      <c r="A410" s="111">
        <f t="shared" si="256"/>
        <v>2200</v>
      </c>
      <c r="B410" s="111" t="str">
        <f t="shared" si="256"/>
        <v>Lunch Leader/Nutrition</v>
      </c>
      <c r="D410" s="111">
        <f t="shared" si="261"/>
        <v>11830</v>
      </c>
      <c r="F410" s="115">
        <f t="shared" ref="F410:Q410" si="274">$D410*(1+E$5)*F282</f>
        <v>0</v>
      </c>
      <c r="G410" s="115">
        <f t="shared" si="274"/>
        <v>0</v>
      </c>
      <c r="H410" s="115">
        <f t="shared" si="274"/>
        <v>0</v>
      </c>
      <c r="I410" s="115">
        <f t="shared" si="274"/>
        <v>0</v>
      </c>
      <c r="J410" s="115">
        <f t="shared" si="274"/>
        <v>0</v>
      </c>
      <c r="K410" s="115">
        <f t="shared" si="274"/>
        <v>0</v>
      </c>
      <c r="L410" s="115">
        <f t="shared" si="274"/>
        <v>0</v>
      </c>
      <c r="M410" s="115">
        <f t="shared" si="274"/>
        <v>0</v>
      </c>
      <c r="N410" s="115">
        <f t="shared" si="274"/>
        <v>0</v>
      </c>
      <c r="O410" s="115">
        <f t="shared" si="274"/>
        <v>0</v>
      </c>
      <c r="P410" s="115">
        <f t="shared" si="274"/>
        <v>0</v>
      </c>
      <c r="Q410" s="115">
        <f t="shared" si="274"/>
        <v>0</v>
      </c>
    </row>
    <row r="411" spans="1:17" s="36" customFormat="1" x14ac:dyDescent="0.25">
      <c r="A411" s="111">
        <f t="shared" si="256"/>
        <v>2200</v>
      </c>
      <c r="B411" s="111" t="str">
        <f t="shared" si="256"/>
        <v>Lunch Leader/Nutrition</v>
      </c>
      <c r="D411" s="111">
        <f t="shared" si="261"/>
        <v>11830</v>
      </c>
      <c r="F411" s="115">
        <f t="shared" ref="F411:Q411" si="275">$D411*(1+E$5)*F283</f>
        <v>0</v>
      </c>
      <c r="G411" s="115">
        <f t="shared" si="275"/>
        <v>0</v>
      </c>
      <c r="H411" s="115">
        <f t="shared" si="275"/>
        <v>0</v>
      </c>
      <c r="I411" s="115">
        <f t="shared" si="275"/>
        <v>0</v>
      </c>
      <c r="J411" s="115">
        <f t="shared" si="275"/>
        <v>0</v>
      </c>
      <c r="K411" s="115">
        <f t="shared" si="275"/>
        <v>0</v>
      </c>
      <c r="L411" s="115">
        <f t="shared" si="275"/>
        <v>0</v>
      </c>
      <c r="M411" s="115">
        <f t="shared" si="275"/>
        <v>0</v>
      </c>
      <c r="N411" s="115">
        <f t="shared" si="275"/>
        <v>0</v>
      </c>
      <c r="O411" s="115">
        <f t="shared" si="275"/>
        <v>0</v>
      </c>
      <c r="P411" s="115">
        <f t="shared" si="275"/>
        <v>0</v>
      </c>
      <c r="Q411" s="115">
        <f t="shared" si="275"/>
        <v>0</v>
      </c>
    </row>
    <row r="412" spans="1:17" s="36" customFormat="1" x14ac:dyDescent="0.25">
      <c r="A412" s="111">
        <f t="shared" si="256"/>
        <v>2200</v>
      </c>
      <c r="B412" s="111" t="str">
        <f t="shared" si="256"/>
        <v>Lunch Leader/Nutrition</v>
      </c>
      <c r="D412" s="111">
        <f t="shared" si="261"/>
        <v>11830</v>
      </c>
      <c r="F412" s="115">
        <f t="shared" ref="F412:Q412" si="276">$D412*(1+E$5)*F284</f>
        <v>0</v>
      </c>
      <c r="G412" s="115">
        <f t="shared" si="276"/>
        <v>0</v>
      </c>
      <c r="H412" s="115">
        <f t="shared" si="276"/>
        <v>0</v>
      </c>
      <c r="I412" s="115">
        <f t="shared" si="276"/>
        <v>0</v>
      </c>
      <c r="J412" s="115">
        <f t="shared" si="276"/>
        <v>0</v>
      </c>
      <c r="K412" s="115">
        <f t="shared" si="276"/>
        <v>0</v>
      </c>
      <c r="L412" s="115">
        <f t="shared" si="276"/>
        <v>0</v>
      </c>
      <c r="M412" s="115">
        <f t="shared" si="276"/>
        <v>0</v>
      </c>
      <c r="N412" s="115">
        <f t="shared" si="276"/>
        <v>0</v>
      </c>
      <c r="O412" s="115">
        <f t="shared" si="276"/>
        <v>0</v>
      </c>
      <c r="P412" s="115">
        <f t="shared" si="276"/>
        <v>0</v>
      </c>
      <c r="Q412" s="115">
        <f t="shared" si="276"/>
        <v>0</v>
      </c>
    </row>
    <row r="413" spans="1:17" s="36" customFormat="1" x14ac:dyDescent="0.25">
      <c r="A413" s="111">
        <f t="shared" si="256"/>
        <v>2200</v>
      </c>
      <c r="B413" s="111" t="str">
        <f t="shared" si="256"/>
        <v>Lunch Leader/Nutrition</v>
      </c>
      <c r="D413" s="111">
        <f t="shared" si="261"/>
        <v>11830</v>
      </c>
      <c r="F413" s="115">
        <f t="shared" ref="F413:Q413" si="277">$D413*(1+E$5)*F285</f>
        <v>0</v>
      </c>
      <c r="G413" s="115">
        <f t="shared" si="277"/>
        <v>0</v>
      </c>
      <c r="H413" s="115">
        <f t="shared" si="277"/>
        <v>0</v>
      </c>
      <c r="I413" s="115">
        <f t="shared" si="277"/>
        <v>0</v>
      </c>
      <c r="J413" s="115">
        <f t="shared" si="277"/>
        <v>0</v>
      </c>
      <c r="K413" s="115">
        <f t="shared" si="277"/>
        <v>0</v>
      </c>
      <c r="L413" s="115">
        <f t="shared" si="277"/>
        <v>0</v>
      </c>
      <c r="M413" s="115">
        <f t="shared" si="277"/>
        <v>0</v>
      </c>
      <c r="N413" s="115">
        <f t="shared" si="277"/>
        <v>0</v>
      </c>
      <c r="O413" s="115">
        <f t="shared" si="277"/>
        <v>0</v>
      </c>
      <c r="P413" s="115">
        <f t="shared" si="277"/>
        <v>0</v>
      </c>
      <c r="Q413" s="115">
        <f t="shared" si="277"/>
        <v>0</v>
      </c>
    </row>
    <row r="414" spans="1:17" s="36" customFormat="1" x14ac:dyDescent="0.25">
      <c r="A414" s="111">
        <f t="shared" ref="A414:B433" si="278">A286</f>
        <v>2200</v>
      </c>
      <c r="B414" s="111" t="str">
        <f t="shared" si="278"/>
        <v>Housekeeping/Maintenance</v>
      </c>
      <c r="D414" s="111">
        <f t="shared" si="261"/>
        <v>11830</v>
      </c>
      <c r="F414" s="115">
        <f t="shared" ref="F414:Q414" si="279">$D414*(1+E$5)*F286</f>
        <v>0</v>
      </c>
      <c r="G414" s="115">
        <f t="shared" si="279"/>
        <v>0</v>
      </c>
      <c r="H414" s="115">
        <f t="shared" si="279"/>
        <v>0</v>
      </c>
      <c r="I414" s="115">
        <f t="shared" si="279"/>
        <v>12303.2</v>
      </c>
      <c r="J414" s="115">
        <f t="shared" si="279"/>
        <v>12539.800000000001</v>
      </c>
      <c r="K414" s="115">
        <f t="shared" si="279"/>
        <v>12776.400000000001</v>
      </c>
      <c r="L414" s="115">
        <f t="shared" si="279"/>
        <v>13013.000000000002</v>
      </c>
      <c r="M414" s="115">
        <f t="shared" si="279"/>
        <v>13249.6</v>
      </c>
      <c r="N414" s="115">
        <f t="shared" si="279"/>
        <v>13486.2</v>
      </c>
      <c r="O414" s="115">
        <f t="shared" si="279"/>
        <v>13722.8</v>
      </c>
      <c r="P414" s="115">
        <f t="shared" si="279"/>
        <v>13959.4</v>
      </c>
      <c r="Q414" s="115">
        <f t="shared" si="279"/>
        <v>14196</v>
      </c>
    </row>
    <row r="415" spans="1:17" s="36" customFormat="1" x14ac:dyDescent="0.25">
      <c r="A415" s="111">
        <f t="shared" si="278"/>
        <v>2200</v>
      </c>
      <c r="B415" s="111" t="str">
        <f t="shared" si="278"/>
        <v>Housekeeping/Maintenance</v>
      </c>
      <c r="D415" s="111">
        <f t="shared" si="261"/>
        <v>11830</v>
      </c>
      <c r="F415" s="115">
        <f t="shared" ref="F415:Q415" si="280">$D415*(1+E$5)*F287</f>
        <v>0</v>
      </c>
      <c r="G415" s="115">
        <f t="shared" si="280"/>
        <v>0</v>
      </c>
      <c r="H415" s="115">
        <f t="shared" si="280"/>
        <v>0</v>
      </c>
      <c r="I415" s="115">
        <f t="shared" si="280"/>
        <v>0</v>
      </c>
      <c r="J415" s="115">
        <f t="shared" si="280"/>
        <v>0</v>
      </c>
      <c r="K415" s="115">
        <f t="shared" si="280"/>
        <v>6388.2000000000007</v>
      </c>
      <c r="L415" s="115">
        <f t="shared" si="280"/>
        <v>13013.000000000002</v>
      </c>
      <c r="M415" s="115">
        <f t="shared" si="280"/>
        <v>13249.6</v>
      </c>
      <c r="N415" s="115">
        <f t="shared" si="280"/>
        <v>13486.2</v>
      </c>
      <c r="O415" s="115">
        <f t="shared" si="280"/>
        <v>13722.8</v>
      </c>
      <c r="P415" s="115">
        <f t="shared" si="280"/>
        <v>13959.4</v>
      </c>
      <c r="Q415" s="115">
        <f t="shared" si="280"/>
        <v>14196</v>
      </c>
    </row>
    <row r="416" spans="1:17" s="36" customFormat="1" x14ac:dyDescent="0.25">
      <c r="A416" s="111">
        <f t="shared" si="278"/>
        <v>2200</v>
      </c>
      <c r="B416" s="111" t="str">
        <f t="shared" si="278"/>
        <v>Housekeeping/Maintenance</v>
      </c>
      <c r="D416" s="111">
        <f t="shared" si="261"/>
        <v>11830</v>
      </c>
      <c r="F416" s="115">
        <f t="shared" ref="F416:Q416" si="281">$D416*(1+E$5)*F288</f>
        <v>0</v>
      </c>
      <c r="G416" s="115">
        <f t="shared" si="281"/>
        <v>0</v>
      </c>
      <c r="H416" s="115">
        <f t="shared" si="281"/>
        <v>0</v>
      </c>
      <c r="I416" s="115">
        <f t="shared" si="281"/>
        <v>0</v>
      </c>
      <c r="J416" s="115">
        <f t="shared" si="281"/>
        <v>0</v>
      </c>
      <c r="K416" s="115">
        <f t="shared" si="281"/>
        <v>0</v>
      </c>
      <c r="L416" s="115">
        <f t="shared" si="281"/>
        <v>0</v>
      </c>
      <c r="M416" s="115">
        <f t="shared" si="281"/>
        <v>0</v>
      </c>
      <c r="N416" s="115">
        <f t="shared" si="281"/>
        <v>0</v>
      </c>
      <c r="O416" s="115">
        <f t="shared" si="281"/>
        <v>0</v>
      </c>
      <c r="P416" s="115">
        <f t="shared" si="281"/>
        <v>0</v>
      </c>
      <c r="Q416" s="115">
        <f t="shared" si="281"/>
        <v>0</v>
      </c>
    </row>
    <row r="417" spans="1:17" s="36" customFormat="1" x14ac:dyDescent="0.25">
      <c r="A417" s="111">
        <f t="shared" si="278"/>
        <v>2200</v>
      </c>
      <c r="B417" s="111" t="str">
        <f t="shared" si="278"/>
        <v>Housekeeping/Maintenance</v>
      </c>
      <c r="D417" s="111">
        <f t="shared" si="261"/>
        <v>11830</v>
      </c>
      <c r="F417" s="115">
        <f t="shared" ref="F417:Q417" si="282">$D417*(1+E$5)*F289</f>
        <v>0</v>
      </c>
      <c r="G417" s="115">
        <f t="shared" si="282"/>
        <v>0</v>
      </c>
      <c r="H417" s="115">
        <f t="shared" si="282"/>
        <v>0</v>
      </c>
      <c r="I417" s="115">
        <f t="shared" si="282"/>
        <v>0</v>
      </c>
      <c r="J417" s="115">
        <f t="shared" si="282"/>
        <v>0</v>
      </c>
      <c r="K417" s="115">
        <f t="shared" si="282"/>
        <v>0</v>
      </c>
      <c r="L417" s="115">
        <f t="shared" si="282"/>
        <v>0</v>
      </c>
      <c r="M417" s="115">
        <f t="shared" si="282"/>
        <v>0</v>
      </c>
      <c r="N417" s="115">
        <f t="shared" si="282"/>
        <v>0</v>
      </c>
      <c r="O417" s="115">
        <f t="shared" si="282"/>
        <v>0</v>
      </c>
      <c r="P417" s="115">
        <f t="shared" si="282"/>
        <v>0</v>
      </c>
      <c r="Q417" s="115">
        <f t="shared" si="282"/>
        <v>0</v>
      </c>
    </row>
    <row r="418" spans="1:17" s="36" customFormat="1" x14ac:dyDescent="0.25">
      <c r="A418" s="111">
        <f t="shared" si="278"/>
        <v>2200</v>
      </c>
      <c r="B418" s="111" t="str">
        <f t="shared" si="278"/>
        <v>Housekeeping/Maintenance</v>
      </c>
      <c r="D418" s="111">
        <f t="shared" si="261"/>
        <v>11830</v>
      </c>
      <c r="F418" s="115">
        <f t="shared" ref="F418:Q418" si="283">$D418*(1+E$5)*F290</f>
        <v>0</v>
      </c>
      <c r="G418" s="115">
        <f t="shared" si="283"/>
        <v>0</v>
      </c>
      <c r="H418" s="115">
        <f t="shared" si="283"/>
        <v>0</v>
      </c>
      <c r="I418" s="115">
        <f t="shared" si="283"/>
        <v>0</v>
      </c>
      <c r="J418" s="115">
        <f t="shared" si="283"/>
        <v>0</v>
      </c>
      <c r="K418" s="115">
        <f t="shared" si="283"/>
        <v>0</v>
      </c>
      <c r="L418" s="115">
        <f t="shared" si="283"/>
        <v>0</v>
      </c>
      <c r="M418" s="115">
        <f t="shared" si="283"/>
        <v>0</v>
      </c>
      <c r="N418" s="115">
        <f t="shared" si="283"/>
        <v>0</v>
      </c>
      <c r="O418" s="115">
        <f t="shared" si="283"/>
        <v>0</v>
      </c>
      <c r="P418" s="115">
        <f t="shared" si="283"/>
        <v>0</v>
      </c>
      <c r="Q418" s="115">
        <f t="shared" si="283"/>
        <v>0</v>
      </c>
    </row>
    <row r="419" spans="1:17" s="36" customFormat="1" x14ac:dyDescent="0.25">
      <c r="A419" s="111">
        <f t="shared" si="278"/>
        <v>1110</v>
      </c>
      <c r="B419" s="111" t="str">
        <f t="shared" si="278"/>
        <v>ELA 9th</v>
      </c>
      <c r="D419" s="111">
        <f t="shared" si="261"/>
        <v>50000</v>
      </c>
      <c r="F419" s="115">
        <f t="shared" ref="F419:Q419" si="284">$D419*(1+E$5)*F291</f>
        <v>0</v>
      </c>
      <c r="G419" s="115">
        <f t="shared" si="284"/>
        <v>0</v>
      </c>
      <c r="H419" s="115">
        <f t="shared" si="284"/>
        <v>0</v>
      </c>
      <c r="I419" s="115">
        <f t="shared" si="284"/>
        <v>0</v>
      </c>
      <c r="J419" s="115">
        <f t="shared" si="284"/>
        <v>0</v>
      </c>
      <c r="K419" s="115">
        <f t="shared" si="284"/>
        <v>0</v>
      </c>
      <c r="L419" s="115">
        <f t="shared" si="284"/>
        <v>0</v>
      </c>
      <c r="M419" s="115">
        <f t="shared" si="284"/>
        <v>0</v>
      </c>
      <c r="N419" s="115">
        <f t="shared" si="284"/>
        <v>0</v>
      </c>
      <c r="O419" s="115">
        <f t="shared" si="284"/>
        <v>0</v>
      </c>
      <c r="P419" s="115">
        <f t="shared" si="284"/>
        <v>0</v>
      </c>
      <c r="Q419" s="115">
        <f t="shared" si="284"/>
        <v>0</v>
      </c>
    </row>
    <row r="420" spans="1:17" s="36" customFormat="1" x14ac:dyDescent="0.25">
      <c r="A420" s="111">
        <f t="shared" si="278"/>
        <v>1110</v>
      </c>
      <c r="B420" s="111" t="str">
        <f t="shared" si="278"/>
        <v xml:space="preserve">ELA 10th </v>
      </c>
      <c r="D420" s="111">
        <f t="shared" si="261"/>
        <v>50000</v>
      </c>
      <c r="F420" s="115">
        <f t="shared" ref="F420:Q420" si="285">$D420*(1+E$5)*F292</f>
        <v>0</v>
      </c>
      <c r="G420" s="115">
        <f t="shared" si="285"/>
        <v>0</v>
      </c>
      <c r="H420" s="115">
        <f t="shared" si="285"/>
        <v>0</v>
      </c>
      <c r="I420" s="115">
        <f t="shared" si="285"/>
        <v>0</v>
      </c>
      <c r="J420" s="115">
        <f t="shared" si="285"/>
        <v>0</v>
      </c>
      <c r="K420" s="115">
        <f t="shared" si="285"/>
        <v>0</v>
      </c>
      <c r="L420" s="115">
        <f t="shared" si="285"/>
        <v>0</v>
      </c>
      <c r="M420" s="115">
        <f t="shared" si="285"/>
        <v>0</v>
      </c>
      <c r="N420" s="115">
        <f t="shared" si="285"/>
        <v>0</v>
      </c>
      <c r="O420" s="115">
        <f t="shared" si="285"/>
        <v>0</v>
      </c>
      <c r="P420" s="115">
        <f t="shared" si="285"/>
        <v>0</v>
      </c>
      <c r="Q420" s="115">
        <f t="shared" si="285"/>
        <v>0</v>
      </c>
    </row>
    <row r="421" spans="1:17" s="36" customFormat="1" x14ac:dyDescent="0.25">
      <c r="A421" s="111">
        <f t="shared" si="278"/>
        <v>1110</v>
      </c>
      <c r="B421" s="111" t="str">
        <f t="shared" si="278"/>
        <v xml:space="preserve">ELA 11th </v>
      </c>
      <c r="D421" s="111">
        <f t="shared" si="261"/>
        <v>50000</v>
      </c>
      <c r="F421" s="115">
        <f t="shared" ref="F421:Q421" si="286">$D421*(1+E$5)*F293</f>
        <v>0</v>
      </c>
      <c r="G421" s="115">
        <f t="shared" si="286"/>
        <v>0</v>
      </c>
      <c r="H421" s="115">
        <f t="shared" si="286"/>
        <v>0</v>
      </c>
      <c r="I421" s="115">
        <f t="shared" si="286"/>
        <v>0</v>
      </c>
      <c r="J421" s="115">
        <f t="shared" si="286"/>
        <v>0</v>
      </c>
      <c r="K421" s="115">
        <f t="shared" si="286"/>
        <v>0</v>
      </c>
      <c r="L421" s="115">
        <f t="shared" si="286"/>
        <v>0</v>
      </c>
      <c r="M421" s="115">
        <f t="shared" si="286"/>
        <v>0</v>
      </c>
      <c r="N421" s="115">
        <f t="shared" si="286"/>
        <v>0</v>
      </c>
      <c r="O421" s="115">
        <f t="shared" si="286"/>
        <v>0</v>
      </c>
      <c r="P421" s="115">
        <f t="shared" si="286"/>
        <v>0</v>
      </c>
      <c r="Q421" s="115">
        <f t="shared" si="286"/>
        <v>0</v>
      </c>
    </row>
    <row r="422" spans="1:17" s="36" customFormat="1" x14ac:dyDescent="0.25">
      <c r="A422" s="111">
        <f t="shared" si="278"/>
        <v>1110</v>
      </c>
      <c r="B422" s="111" t="str">
        <f t="shared" si="278"/>
        <v xml:space="preserve">ELA 12th </v>
      </c>
      <c r="D422" s="111">
        <f t="shared" si="261"/>
        <v>50000</v>
      </c>
      <c r="F422" s="115">
        <f t="shared" ref="F422:Q422" si="287">$D422*(1+E$5)*F294</f>
        <v>0</v>
      </c>
      <c r="G422" s="115">
        <f t="shared" si="287"/>
        <v>0</v>
      </c>
      <c r="H422" s="115">
        <f t="shared" si="287"/>
        <v>0</v>
      </c>
      <c r="I422" s="115">
        <f t="shared" si="287"/>
        <v>0</v>
      </c>
      <c r="J422" s="115">
        <f t="shared" si="287"/>
        <v>0</v>
      </c>
      <c r="K422" s="115">
        <f t="shared" si="287"/>
        <v>0</v>
      </c>
      <c r="L422" s="115">
        <f t="shared" si="287"/>
        <v>0</v>
      </c>
      <c r="M422" s="115">
        <f t="shared" si="287"/>
        <v>0</v>
      </c>
      <c r="N422" s="115">
        <f t="shared" si="287"/>
        <v>0</v>
      </c>
      <c r="O422" s="115">
        <f t="shared" si="287"/>
        <v>0</v>
      </c>
      <c r="P422" s="115">
        <f t="shared" si="287"/>
        <v>0</v>
      </c>
      <c r="Q422" s="115">
        <f t="shared" si="287"/>
        <v>0</v>
      </c>
    </row>
    <row r="423" spans="1:17" s="36" customFormat="1" x14ac:dyDescent="0.25">
      <c r="A423" s="111">
        <f t="shared" si="278"/>
        <v>1110</v>
      </c>
      <c r="B423" s="111" t="str">
        <f t="shared" si="278"/>
        <v xml:space="preserve">Math 9th </v>
      </c>
      <c r="D423" s="111">
        <f t="shared" si="261"/>
        <v>50000</v>
      </c>
      <c r="F423" s="115">
        <f t="shared" ref="F423:Q423" si="288">$D423*(1+E$5)*F295</f>
        <v>0</v>
      </c>
      <c r="G423" s="115">
        <f t="shared" si="288"/>
        <v>0</v>
      </c>
      <c r="H423" s="115">
        <f t="shared" si="288"/>
        <v>0</v>
      </c>
      <c r="I423" s="115">
        <f t="shared" si="288"/>
        <v>0</v>
      </c>
      <c r="J423" s="115">
        <f t="shared" si="288"/>
        <v>0</v>
      </c>
      <c r="K423" s="115">
        <f t="shared" si="288"/>
        <v>0</v>
      </c>
      <c r="L423" s="115">
        <f t="shared" si="288"/>
        <v>0</v>
      </c>
      <c r="M423" s="115">
        <f t="shared" si="288"/>
        <v>0</v>
      </c>
      <c r="N423" s="115">
        <f t="shared" si="288"/>
        <v>0</v>
      </c>
      <c r="O423" s="115">
        <f t="shared" si="288"/>
        <v>0</v>
      </c>
      <c r="P423" s="115">
        <f t="shared" si="288"/>
        <v>0</v>
      </c>
      <c r="Q423" s="115">
        <f t="shared" si="288"/>
        <v>0</v>
      </c>
    </row>
    <row r="424" spans="1:17" s="36" customFormat="1" x14ac:dyDescent="0.25">
      <c r="A424" s="111">
        <f t="shared" si="278"/>
        <v>1110</v>
      </c>
      <c r="B424" s="111" t="str">
        <f t="shared" si="278"/>
        <v>Math 10th</v>
      </c>
      <c r="D424" s="111">
        <f t="shared" si="261"/>
        <v>50000</v>
      </c>
      <c r="F424" s="115">
        <f t="shared" ref="F424:Q424" si="289">$D424*(1+E$5)*F296</f>
        <v>0</v>
      </c>
      <c r="G424" s="115">
        <f t="shared" si="289"/>
        <v>0</v>
      </c>
      <c r="H424" s="115">
        <f t="shared" si="289"/>
        <v>0</v>
      </c>
      <c r="I424" s="115">
        <f t="shared" si="289"/>
        <v>0</v>
      </c>
      <c r="J424" s="115">
        <f t="shared" si="289"/>
        <v>0</v>
      </c>
      <c r="K424" s="115">
        <f t="shared" si="289"/>
        <v>0</v>
      </c>
      <c r="L424" s="115">
        <f t="shared" si="289"/>
        <v>0</v>
      </c>
      <c r="M424" s="115">
        <f t="shared" si="289"/>
        <v>0</v>
      </c>
      <c r="N424" s="115">
        <f t="shared" si="289"/>
        <v>0</v>
      </c>
      <c r="O424" s="115">
        <f t="shared" si="289"/>
        <v>0</v>
      </c>
      <c r="P424" s="115">
        <f t="shared" si="289"/>
        <v>0</v>
      </c>
      <c r="Q424" s="115">
        <f t="shared" si="289"/>
        <v>0</v>
      </c>
    </row>
    <row r="425" spans="1:17" s="36" customFormat="1" x14ac:dyDescent="0.25">
      <c r="A425" s="111">
        <f t="shared" si="278"/>
        <v>1110</v>
      </c>
      <c r="B425" s="111" t="str">
        <f t="shared" si="278"/>
        <v xml:space="preserve">Math 11th </v>
      </c>
      <c r="D425" s="111">
        <f t="shared" si="261"/>
        <v>50000</v>
      </c>
      <c r="F425" s="115">
        <f t="shared" ref="F425:Q425" si="290">$D425*(1+E$5)*F297</f>
        <v>0</v>
      </c>
      <c r="G425" s="115">
        <f t="shared" si="290"/>
        <v>0</v>
      </c>
      <c r="H425" s="115">
        <f t="shared" si="290"/>
        <v>0</v>
      </c>
      <c r="I425" s="115">
        <f t="shared" si="290"/>
        <v>0</v>
      </c>
      <c r="J425" s="115">
        <f t="shared" si="290"/>
        <v>0</v>
      </c>
      <c r="K425" s="115">
        <f t="shared" si="290"/>
        <v>0</v>
      </c>
      <c r="L425" s="115">
        <f t="shared" si="290"/>
        <v>0</v>
      </c>
      <c r="M425" s="115">
        <f t="shared" si="290"/>
        <v>0</v>
      </c>
      <c r="N425" s="115">
        <f t="shared" si="290"/>
        <v>0</v>
      </c>
      <c r="O425" s="115">
        <f t="shared" si="290"/>
        <v>0</v>
      </c>
      <c r="P425" s="115">
        <f t="shared" si="290"/>
        <v>0</v>
      </c>
      <c r="Q425" s="115">
        <f t="shared" si="290"/>
        <v>0</v>
      </c>
    </row>
    <row r="426" spans="1:17" s="36" customFormat="1" x14ac:dyDescent="0.25">
      <c r="A426" s="111">
        <f t="shared" si="278"/>
        <v>1110</v>
      </c>
      <c r="B426" s="111" t="str">
        <f t="shared" si="278"/>
        <v xml:space="preserve">Math 12th </v>
      </c>
      <c r="D426" s="111">
        <f t="shared" si="261"/>
        <v>50000</v>
      </c>
      <c r="F426" s="115">
        <f t="shared" ref="F426:Q426" si="291">$D426*(1+E$5)*F298</f>
        <v>0</v>
      </c>
      <c r="G426" s="115">
        <f t="shared" si="291"/>
        <v>0</v>
      </c>
      <c r="H426" s="115">
        <f t="shared" si="291"/>
        <v>0</v>
      </c>
      <c r="I426" s="115">
        <f t="shared" si="291"/>
        <v>0</v>
      </c>
      <c r="J426" s="115">
        <f t="shared" si="291"/>
        <v>0</v>
      </c>
      <c r="K426" s="115">
        <f t="shared" si="291"/>
        <v>0</v>
      </c>
      <c r="L426" s="115">
        <f t="shared" si="291"/>
        <v>0</v>
      </c>
      <c r="M426" s="115">
        <f t="shared" si="291"/>
        <v>0</v>
      </c>
      <c r="N426" s="115">
        <f t="shared" si="291"/>
        <v>0</v>
      </c>
      <c r="O426" s="115">
        <f t="shared" si="291"/>
        <v>0</v>
      </c>
      <c r="P426" s="115">
        <f t="shared" si="291"/>
        <v>0</v>
      </c>
      <c r="Q426" s="115">
        <f t="shared" si="291"/>
        <v>0</v>
      </c>
    </row>
    <row r="427" spans="1:17" s="36" customFormat="1" x14ac:dyDescent="0.25">
      <c r="A427" s="111">
        <f t="shared" si="278"/>
        <v>1110</v>
      </c>
      <c r="B427" s="111" t="str">
        <f t="shared" si="278"/>
        <v xml:space="preserve">Humanities 9th </v>
      </c>
      <c r="D427" s="111">
        <f t="shared" si="261"/>
        <v>50000</v>
      </c>
      <c r="F427" s="115">
        <f t="shared" ref="F427:Q427" si="292">$D427*(1+E$5)*F299</f>
        <v>0</v>
      </c>
      <c r="G427" s="115">
        <f t="shared" si="292"/>
        <v>0</v>
      </c>
      <c r="H427" s="115">
        <f t="shared" si="292"/>
        <v>0</v>
      </c>
      <c r="I427" s="115">
        <f t="shared" si="292"/>
        <v>0</v>
      </c>
      <c r="J427" s="115">
        <f t="shared" si="292"/>
        <v>0</v>
      </c>
      <c r="K427" s="115">
        <f t="shared" si="292"/>
        <v>0</v>
      </c>
      <c r="L427" s="115">
        <f t="shared" si="292"/>
        <v>0</v>
      </c>
      <c r="M427" s="115">
        <f t="shared" si="292"/>
        <v>0</v>
      </c>
      <c r="N427" s="115">
        <f t="shared" si="292"/>
        <v>0</v>
      </c>
      <c r="O427" s="115">
        <f t="shared" si="292"/>
        <v>0</v>
      </c>
      <c r="P427" s="115">
        <f t="shared" si="292"/>
        <v>0</v>
      </c>
      <c r="Q427" s="115">
        <f t="shared" si="292"/>
        <v>0</v>
      </c>
    </row>
    <row r="428" spans="1:17" s="36" customFormat="1" x14ac:dyDescent="0.25">
      <c r="A428" s="111">
        <f t="shared" si="278"/>
        <v>1110</v>
      </c>
      <c r="B428" s="111" t="str">
        <f t="shared" si="278"/>
        <v>Humanities 10th</v>
      </c>
      <c r="D428" s="111">
        <f t="shared" si="261"/>
        <v>50000</v>
      </c>
      <c r="F428" s="115">
        <f t="shared" ref="F428:Q428" si="293">$D428*(1+E$5)*F300</f>
        <v>0</v>
      </c>
      <c r="G428" s="115">
        <f t="shared" si="293"/>
        <v>0</v>
      </c>
      <c r="H428" s="115">
        <f t="shared" si="293"/>
        <v>0</v>
      </c>
      <c r="I428" s="115">
        <f t="shared" si="293"/>
        <v>0</v>
      </c>
      <c r="J428" s="115">
        <f t="shared" si="293"/>
        <v>0</v>
      </c>
      <c r="K428" s="115">
        <f t="shared" si="293"/>
        <v>0</v>
      </c>
      <c r="L428" s="115">
        <f t="shared" si="293"/>
        <v>0</v>
      </c>
      <c r="M428" s="115">
        <f t="shared" si="293"/>
        <v>0</v>
      </c>
      <c r="N428" s="115">
        <f t="shared" si="293"/>
        <v>0</v>
      </c>
      <c r="O428" s="115">
        <f t="shared" si="293"/>
        <v>0</v>
      </c>
      <c r="P428" s="115">
        <f t="shared" si="293"/>
        <v>0</v>
      </c>
      <c r="Q428" s="115">
        <f t="shared" si="293"/>
        <v>0</v>
      </c>
    </row>
    <row r="429" spans="1:17" s="36" customFormat="1" x14ac:dyDescent="0.25">
      <c r="A429" s="111">
        <f t="shared" si="278"/>
        <v>1110</v>
      </c>
      <c r="B429" s="111" t="str">
        <f t="shared" si="278"/>
        <v>Humanities 11th</v>
      </c>
      <c r="D429" s="111">
        <f t="shared" si="261"/>
        <v>50000</v>
      </c>
      <c r="F429" s="115">
        <f t="shared" ref="F429:Q429" si="294">$D429*(1+E$5)*F301</f>
        <v>0</v>
      </c>
      <c r="G429" s="115">
        <f t="shared" si="294"/>
        <v>0</v>
      </c>
      <c r="H429" s="115">
        <f t="shared" si="294"/>
        <v>0</v>
      </c>
      <c r="I429" s="115">
        <f t="shared" si="294"/>
        <v>0</v>
      </c>
      <c r="J429" s="115">
        <f t="shared" si="294"/>
        <v>0</v>
      </c>
      <c r="K429" s="115">
        <f t="shared" si="294"/>
        <v>0</v>
      </c>
      <c r="L429" s="115">
        <f t="shared" si="294"/>
        <v>0</v>
      </c>
      <c r="M429" s="115">
        <f t="shared" si="294"/>
        <v>0</v>
      </c>
      <c r="N429" s="115">
        <f t="shared" si="294"/>
        <v>0</v>
      </c>
      <c r="O429" s="115">
        <f t="shared" si="294"/>
        <v>0</v>
      </c>
      <c r="P429" s="115">
        <f t="shared" si="294"/>
        <v>0</v>
      </c>
      <c r="Q429" s="115">
        <f t="shared" si="294"/>
        <v>0</v>
      </c>
    </row>
    <row r="430" spans="1:17" s="36" customFormat="1" x14ac:dyDescent="0.25">
      <c r="A430" s="111">
        <f t="shared" si="278"/>
        <v>1110</v>
      </c>
      <c r="B430" s="111" t="str">
        <f t="shared" si="278"/>
        <v>Humanities 12th</v>
      </c>
      <c r="D430" s="111">
        <f t="shared" ref="D430:D458" si="295">D302</f>
        <v>50000</v>
      </c>
      <c r="F430" s="115">
        <f t="shared" ref="F430:Q430" si="296">$D430*(1+E$5)*F302</f>
        <v>0</v>
      </c>
      <c r="G430" s="115">
        <f t="shared" si="296"/>
        <v>0</v>
      </c>
      <c r="H430" s="115">
        <f t="shared" si="296"/>
        <v>0</v>
      </c>
      <c r="I430" s="115">
        <f t="shared" si="296"/>
        <v>0</v>
      </c>
      <c r="J430" s="115">
        <f t="shared" si="296"/>
        <v>0</v>
      </c>
      <c r="K430" s="115">
        <f t="shared" si="296"/>
        <v>0</v>
      </c>
      <c r="L430" s="115">
        <f t="shared" si="296"/>
        <v>0</v>
      </c>
      <c r="M430" s="115">
        <f t="shared" si="296"/>
        <v>0</v>
      </c>
      <c r="N430" s="115">
        <f t="shared" si="296"/>
        <v>0</v>
      </c>
      <c r="O430" s="115">
        <f t="shared" si="296"/>
        <v>0</v>
      </c>
      <c r="P430" s="115">
        <f t="shared" si="296"/>
        <v>0</v>
      </c>
      <c r="Q430" s="115">
        <f t="shared" si="296"/>
        <v>0</v>
      </c>
    </row>
    <row r="431" spans="1:17" s="36" customFormat="1" x14ac:dyDescent="0.25">
      <c r="A431" s="111">
        <f t="shared" si="278"/>
        <v>1110</v>
      </c>
      <c r="B431" s="111" t="str">
        <f t="shared" si="278"/>
        <v>Foreign Language - Spanish</v>
      </c>
      <c r="D431" s="111">
        <f t="shared" si="295"/>
        <v>50000</v>
      </c>
      <c r="F431" s="115">
        <f t="shared" ref="F431:Q431" si="297">$D431*(1+E$5)*F303</f>
        <v>0</v>
      </c>
      <c r="G431" s="115">
        <f t="shared" si="297"/>
        <v>0</v>
      </c>
      <c r="H431" s="115">
        <f t="shared" si="297"/>
        <v>0</v>
      </c>
      <c r="I431" s="115">
        <f t="shared" si="297"/>
        <v>0</v>
      </c>
      <c r="J431" s="115">
        <f t="shared" si="297"/>
        <v>0</v>
      </c>
      <c r="K431" s="115">
        <f t="shared" si="297"/>
        <v>0</v>
      </c>
      <c r="L431" s="115">
        <f t="shared" si="297"/>
        <v>0</v>
      </c>
      <c r="M431" s="115">
        <f t="shared" si="297"/>
        <v>0</v>
      </c>
      <c r="N431" s="115">
        <f t="shared" si="297"/>
        <v>0</v>
      </c>
      <c r="O431" s="115">
        <f t="shared" si="297"/>
        <v>0</v>
      </c>
      <c r="P431" s="115">
        <f t="shared" si="297"/>
        <v>0</v>
      </c>
      <c r="Q431" s="115">
        <f t="shared" si="297"/>
        <v>0</v>
      </c>
    </row>
    <row r="432" spans="1:17" s="36" customFormat="1" x14ac:dyDescent="0.25">
      <c r="A432" s="111">
        <f t="shared" si="278"/>
        <v>1110</v>
      </c>
      <c r="B432" s="111" t="str">
        <f t="shared" si="278"/>
        <v>Foreign Language - French</v>
      </c>
      <c r="D432" s="111">
        <f t="shared" si="295"/>
        <v>50000</v>
      </c>
      <c r="F432" s="115">
        <f t="shared" ref="F432:Q432" si="298">$D432*(1+E$5)*F304</f>
        <v>0</v>
      </c>
      <c r="G432" s="115">
        <f t="shared" si="298"/>
        <v>0</v>
      </c>
      <c r="H432" s="115">
        <f t="shared" si="298"/>
        <v>0</v>
      </c>
      <c r="I432" s="115">
        <f t="shared" si="298"/>
        <v>0</v>
      </c>
      <c r="J432" s="115">
        <f t="shared" si="298"/>
        <v>0</v>
      </c>
      <c r="K432" s="115">
        <f t="shared" si="298"/>
        <v>0</v>
      </c>
      <c r="L432" s="115">
        <f t="shared" si="298"/>
        <v>0</v>
      </c>
      <c r="M432" s="115">
        <f t="shared" si="298"/>
        <v>0</v>
      </c>
      <c r="N432" s="115">
        <f t="shared" si="298"/>
        <v>0</v>
      </c>
      <c r="O432" s="115">
        <f t="shared" si="298"/>
        <v>0</v>
      </c>
      <c r="P432" s="115">
        <f t="shared" si="298"/>
        <v>0</v>
      </c>
      <c r="Q432" s="115">
        <f t="shared" si="298"/>
        <v>0</v>
      </c>
    </row>
    <row r="433" spans="1:17" s="36" customFormat="1" x14ac:dyDescent="0.25">
      <c r="A433" s="111">
        <f t="shared" si="278"/>
        <v>1110</v>
      </c>
      <c r="B433" s="111" t="str">
        <f t="shared" si="278"/>
        <v>HS Visual Performing Arts</v>
      </c>
      <c r="D433" s="111">
        <f t="shared" si="295"/>
        <v>50000</v>
      </c>
      <c r="F433" s="115">
        <f t="shared" ref="F433:Q433" si="299">$D433*(1+E$5)*F305</f>
        <v>0</v>
      </c>
      <c r="G433" s="115">
        <f t="shared" si="299"/>
        <v>0</v>
      </c>
      <c r="H433" s="115">
        <f t="shared" si="299"/>
        <v>0</v>
      </c>
      <c r="I433" s="115">
        <f t="shared" si="299"/>
        <v>0</v>
      </c>
      <c r="J433" s="115">
        <f t="shared" si="299"/>
        <v>0</v>
      </c>
      <c r="K433" s="115">
        <f t="shared" si="299"/>
        <v>0</v>
      </c>
      <c r="L433" s="115">
        <f t="shared" si="299"/>
        <v>0</v>
      </c>
      <c r="M433" s="115">
        <f t="shared" si="299"/>
        <v>0</v>
      </c>
      <c r="N433" s="115">
        <f t="shared" si="299"/>
        <v>0</v>
      </c>
      <c r="O433" s="115">
        <f t="shared" si="299"/>
        <v>0</v>
      </c>
      <c r="P433" s="115">
        <f t="shared" si="299"/>
        <v>0</v>
      </c>
      <c r="Q433" s="115">
        <f t="shared" si="299"/>
        <v>0</v>
      </c>
    </row>
    <row r="434" spans="1:17" s="36" customFormat="1" x14ac:dyDescent="0.25">
      <c r="A434" s="111">
        <f t="shared" ref="A434:B453" si="300">A306</f>
        <v>1110</v>
      </c>
      <c r="B434" s="111" t="str">
        <f t="shared" si="300"/>
        <v>HS Visual Performing Arts</v>
      </c>
      <c r="D434" s="111">
        <f t="shared" si="295"/>
        <v>50000</v>
      </c>
      <c r="F434" s="115">
        <f t="shared" ref="F434:Q434" si="301">$D434*(1+E$5)*F306</f>
        <v>0</v>
      </c>
      <c r="G434" s="115">
        <f t="shared" si="301"/>
        <v>0</v>
      </c>
      <c r="H434" s="115">
        <f t="shared" si="301"/>
        <v>0</v>
      </c>
      <c r="I434" s="115">
        <f t="shared" si="301"/>
        <v>0</v>
      </c>
      <c r="J434" s="115">
        <f t="shared" si="301"/>
        <v>0</v>
      </c>
      <c r="K434" s="115">
        <f t="shared" si="301"/>
        <v>0</v>
      </c>
      <c r="L434" s="115">
        <f t="shared" si="301"/>
        <v>0</v>
      </c>
      <c r="M434" s="115">
        <f t="shared" si="301"/>
        <v>0</v>
      </c>
      <c r="N434" s="115">
        <f t="shared" si="301"/>
        <v>0</v>
      </c>
      <c r="O434" s="115">
        <f t="shared" si="301"/>
        <v>0</v>
      </c>
      <c r="P434" s="115">
        <f t="shared" si="301"/>
        <v>0</v>
      </c>
      <c r="Q434" s="115">
        <f t="shared" si="301"/>
        <v>0</v>
      </c>
    </row>
    <row r="435" spans="1:17" s="36" customFormat="1" x14ac:dyDescent="0.25">
      <c r="A435" s="111">
        <f t="shared" si="300"/>
        <v>2100</v>
      </c>
      <c r="B435" s="111" t="str">
        <f t="shared" si="300"/>
        <v xml:space="preserve">HS PE </v>
      </c>
      <c r="D435" s="111">
        <f t="shared" si="295"/>
        <v>50000</v>
      </c>
      <c r="F435" s="115">
        <f t="shared" ref="F435:Q435" si="302">$D435*(1+E$5)*F307</f>
        <v>0</v>
      </c>
      <c r="G435" s="115">
        <f t="shared" si="302"/>
        <v>0</v>
      </c>
      <c r="H435" s="115">
        <f t="shared" si="302"/>
        <v>0</v>
      </c>
      <c r="I435" s="115">
        <f t="shared" si="302"/>
        <v>0</v>
      </c>
      <c r="J435" s="115">
        <f t="shared" si="302"/>
        <v>0</v>
      </c>
      <c r="K435" s="115">
        <f t="shared" si="302"/>
        <v>0</v>
      </c>
      <c r="L435" s="115">
        <f t="shared" si="302"/>
        <v>0</v>
      </c>
      <c r="M435" s="115">
        <f t="shared" si="302"/>
        <v>0</v>
      </c>
      <c r="N435" s="115">
        <f t="shared" si="302"/>
        <v>0</v>
      </c>
      <c r="O435" s="115">
        <f t="shared" si="302"/>
        <v>0</v>
      </c>
      <c r="P435" s="115">
        <f t="shared" si="302"/>
        <v>0</v>
      </c>
      <c r="Q435" s="115">
        <f t="shared" si="302"/>
        <v>0</v>
      </c>
    </row>
    <row r="436" spans="1:17" s="36" customFormat="1" x14ac:dyDescent="0.25">
      <c r="A436" s="111">
        <f t="shared" si="300"/>
        <v>2100</v>
      </c>
      <c r="B436" s="111" t="str">
        <f t="shared" si="300"/>
        <v xml:space="preserve">HS PE </v>
      </c>
      <c r="D436" s="111">
        <f t="shared" si="295"/>
        <v>50000</v>
      </c>
      <c r="F436" s="115">
        <f t="shared" ref="F436:Q436" si="303">$D436*(1+E$5)*F308</f>
        <v>0</v>
      </c>
      <c r="G436" s="115">
        <f t="shared" si="303"/>
        <v>0</v>
      </c>
      <c r="H436" s="115">
        <f t="shared" si="303"/>
        <v>0</v>
      </c>
      <c r="I436" s="115">
        <f t="shared" si="303"/>
        <v>0</v>
      </c>
      <c r="J436" s="115">
        <f t="shared" si="303"/>
        <v>0</v>
      </c>
      <c r="K436" s="115">
        <f t="shared" si="303"/>
        <v>0</v>
      </c>
      <c r="L436" s="115">
        <f t="shared" si="303"/>
        <v>0</v>
      </c>
      <c r="M436" s="115">
        <f t="shared" si="303"/>
        <v>0</v>
      </c>
      <c r="N436" s="115">
        <f t="shared" si="303"/>
        <v>0</v>
      </c>
      <c r="O436" s="115">
        <f t="shared" si="303"/>
        <v>0</v>
      </c>
      <c r="P436" s="115">
        <f t="shared" si="303"/>
        <v>0</v>
      </c>
      <c r="Q436" s="115">
        <f t="shared" si="303"/>
        <v>0</v>
      </c>
    </row>
    <row r="437" spans="1:17" s="36" customFormat="1" x14ac:dyDescent="0.25">
      <c r="A437" s="111">
        <f t="shared" si="300"/>
        <v>2300</v>
      </c>
      <c r="B437" s="111" t="str">
        <f t="shared" si="300"/>
        <v>High School Sport Director</v>
      </c>
      <c r="D437" s="111">
        <f t="shared" si="295"/>
        <v>50000</v>
      </c>
      <c r="F437" s="115">
        <f t="shared" ref="F437:Q437" si="304">$D437*(1+E$5)*F309</f>
        <v>0</v>
      </c>
      <c r="G437" s="115">
        <f t="shared" si="304"/>
        <v>0</v>
      </c>
      <c r="H437" s="115">
        <f t="shared" si="304"/>
        <v>0</v>
      </c>
      <c r="I437" s="115">
        <f t="shared" si="304"/>
        <v>0</v>
      </c>
      <c r="J437" s="115">
        <f t="shared" si="304"/>
        <v>0</v>
      </c>
      <c r="K437" s="115">
        <f t="shared" si="304"/>
        <v>0</v>
      </c>
      <c r="L437" s="115">
        <f t="shared" si="304"/>
        <v>0</v>
      </c>
      <c r="M437" s="115">
        <f t="shared" si="304"/>
        <v>0</v>
      </c>
      <c r="N437" s="115">
        <f t="shared" si="304"/>
        <v>0</v>
      </c>
      <c r="O437" s="115">
        <f t="shared" si="304"/>
        <v>0</v>
      </c>
      <c r="P437" s="115">
        <f t="shared" si="304"/>
        <v>0</v>
      </c>
      <c r="Q437" s="115">
        <f t="shared" si="304"/>
        <v>0</v>
      </c>
    </row>
    <row r="438" spans="1:17" s="36" customFormat="1" x14ac:dyDescent="0.25">
      <c r="A438" s="111">
        <f t="shared" si="300"/>
        <v>2300</v>
      </c>
      <c r="B438" s="111" t="str">
        <f t="shared" si="300"/>
        <v>High School Sport Director</v>
      </c>
      <c r="D438" s="111">
        <f t="shared" si="295"/>
        <v>50000</v>
      </c>
      <c r="F438" s="115">
        <f t="shared" ref="F438:Q438" si="305">$D438*(1+E$5)*F310</f>
        <v>0</v>
      </c>
      <c r="G438" s="115">
        <f t="shared" si="305"/>
        <v>0</v>
      </c>
      <c r="H438" s="115">
        <f t="shared" si="305"/>
        <v>0</v>
      </c>
      <c r="I438" s="115">
        <f t="shared" si="305"/>
        <v>0</v>
      </c>
      <c r="J438" s="115">
        <f t="shared" si="305"/>
        <v>0</v>
      </c>
      <c r="K438" s="115">
        <f t="shared" si="305"/>
        <v>0</v>
      </c>
      <c r="L438" s="115">
        <f t="shared" si="305"/>
        <v>0</v>
      </c>
      <c r="M438" s="115">
        <f t="shared" si="305"/>
        <v>0</v>
      </c>
      <c r="N438" s="115">
        <f t="shared" si="305"/>
        <v>0</v>
      </c>
      <c r="O438" s="115">
        <f t="shared" si="305"/>
        <v>0</v>
      </c>
      <c r="P438" s="115">
        <f t="shared" si="305"/>
        <v>0</v>
      </c>
      <c r="Q438" s="115">
        <f t="shared" si="305"/>
        <v>0</v>
      </c>
    </row>
    <row r="439" spans="1:17" s="36" customFormat="1" x14ac:dyDescent="0.25">
      <c r="A439" s="111">
        <f t="shared" si="300"/>
        <v>2900</v>
      </c>
      <c r="B439" s="111" t="str">
        <f t="shared" si="300"/>
        <v>After School Program Director - Elem</v>
      </c>
      <c r="D439" s="111">
        <f t="shared" si="295"/>
        <v>33000</v>
      </c>
      <c r="F439" s="115" t="e">
        <f t="shared" ref="F439:Q439" si="306">$D439*(1+E$5)*F311</f>
        <v>#REF!</v>
      </c>
      <c r="G439" s="115" t="e">
        <f t="shared" si="306"/>
        <v>#REF!</v>
      </c>
      <c r="H439" s="115" t="e">
        <f t="shared" si="306"/>
        <v>#REF!</v>
      </c>
      <c r="I439" s="115" t="e">
        <f t="shared" si="306"/>
        <v>#REF!</v>
      </c>
      <c r="J439" s="115" t="e">
        <f t="shared" si="306"/>
        <v>#REF!</v>
      </c>
      <c r="K439" s="115" t="e">
        <f t="shared" si="306"/>
        <v>#REF!</v>
      </c>
      <c r="L439" s="115" t="e">
        <f t="shared" si="306"/>
        <v>#REF!</v>
      </c>
      <c r="M439" s="115" t="e">
        <f t="shared" si="306"/>
        <v>#REF!</v>
      </c>
      <c r="N439" s="115" t="e">
        <f t="shared" si="306"/>
        <v>#REF!</v>
      </c>
      <c r="O439" s="115" t="e">
        <f t="shared" si="306"/>
        <v>#REF!</v>
      </c>
      <c r="P439" s="115" t="e">
        <f t="shared" si="306"/>
        <v>#REF!</v>
      </c>
      <c r="Q439" s="115" t="e">
        <f t="shared" si="306"/>
        <v>#REF!</v>
      </c>
    </row>
    <row r="440" spans="1:17" s="36" customFormat="1" x14ac:dyDescent="0.25">
      <c r="A440" s="111">
        <f t="shared" si="300"/>
        <v>2900</v>
      </c>
      <c r="B440" s="111" t="str">
        <f t="shared" si="300"/>
        <v>After School Program Director - Middle</v>
      </c>
      <c r="D440" s="111">
        <f t="shared" si="295"/>
        <v>33000</v>
      </c>
      <c r="F440" s="115">
        <f t="shared" ref="F440:Q440" si="307">$D440*(1+E$5)*F312</f>
        <v>0</v>
      </c>
      <c r="G440" s="115">
        <f t="shared" si="307"/>
        <v>0</v>
      </c>
      <c r="H440" s="115">
        <f t="shared" si="307"/>
        <v>0</v>
      </c>
      <c r="I440" s="115">
        <f t="shared" si="307"/>
        <v>0</v>
      </c>
      <c r="J440" s="115">
        <f t="shared" si="307"/>
        <v>0</v>
      </c>
      <c r="K440" s="115">
        <f t="shared" si="307"/>
        <v>0</v>
      </c>
      <c r="L440" s="115">
        <f t="shared" si="307"/>
        <v>0</v>
      </c>
      <c r="M440" s="115">
        <f t="shared" si="307"/>
        <v>0</v>
      </c>
      <c r="N440" s="115">
        <f t="shared" si="307"/>
        <v>0</v>
      </c>
      <c r="O440" s="115">
        <f t="shared" si="307"/>
        <v>0</v>
      </c>
      <c r="P440" s="115">
        <f t="shared" si="307"/>
        <v>0</v>
      </c>
      <c r="Q440" s="115">
        <f t="shared" si="307"/>
        <v>0</v>
      </c>
    </row>
    <row r="441" spans="1:17" s="36" customFormat="1" x14ac:dyDescent="0.25">
      <c r="A441" s="111">
        <f t="shared" si="300"/>
        <v>2900</v>
      </c>
      <c r="B441" s="111" t="str">
        <f t="shared" si="300"/>
        <v>After School Program Leader</v>
      </c>
      <c r="D441" s="111">
        <f t="shared" si="295"/>
        <v>8140</v>
      </c>
      <c r="F441" s="115">
        <f t="shared" ref="F441:Q441" si="308">$D441*(1+E$5)*F313</f>
        <v>0</v>
      </c>
      <c r="G441" s="115">
        <f t="shared" si="308"/>
        <v>0</v>
      </c>
      <c r="H441" s="115">
        <f t="shared" si="308"/>
        <v>0</v>
      </c>
      <c r="I441" s="115">
        <f t="shared" si="308"/>
        <v>8465.6</v>
      </c>
      <c r="J441" s="115">
        <f t="shared" si="308"/>
        <v>8628.4</v>
      </c>
      <c r="K441" s="115">
        <f t="shared" si="308"/>
        <v>8791.2000000000007</v>
      </c>
      <c r="L441" s="115">
        <f t="shared" si="308"/>
        <v>8954</v>
      </c>
      <c r="M441" s="115">
        <f t="shared" si="308"/>
        <v>9116.8000000000011</v>
      </c>
      <c r="N441" s="115">
        <f t="shared" si="308"/>
        <v>9279.6</v>
      </c>
      <c r="O441" s="115">
        <f t="shared" si="308"/>
        <v>9442.4</v>
      </c>
      <c r="P441" s="115">
        <f t="shared" si="308"/>
        <v>9605.1999999999989</v>
      </c>
      <c r="Q441" s="115">
        <f t="shared" si="308"/>
        <v>9768</v>
      </c>
    </row>
    <row r="442" spans="1:17" s="36" customFormat="1" x14ac:dyDescent="0.25">
      <c r="A442" s="111">
        <f t="shared" si="300"/>
        <v>2900</v>
      </c>
      <c r="B442" s="111" t="str">
        <f t="shared" si="300"/>
        <v>After School Program Leader</v>
      </c>
      <c r="D442" s="111">
        <f t="shared" si="295"/>
        <v>8140</v>
      </c>
      <c r="F442" s="115">
        <f t="shared" ref="F442:Q442" si="309">$D442*(1+E$5)*F314</f>
        <v>0</v>
      </c>
      <c r="G442" s="115">
        <f t="shared" si="309"/>
        <v>0</v>
      </c>
      <c r="H442" s="115">
        <f t="shared" si="309"/>
        <v>0</v>
      </c>
      <c r="I442" s="115">
        <f t="shared" si="309"/>
        <v>8465.6</v>
      </c>
      <c r="J442" s="115">
        <f t="shared" si="309"/>
        <v>8628.4</v>
      </c>
      <c r="K442" s="115">
        <f t="shared" si="309"/>
        <v>8791.2000000000007</v>
      </c>
      <c r="L442" s="115">
        <f t="shared" si="309"/>
        <v>8954</v>
      </c>
      <c r="M442" s="115">
        <f t="shared" si="309"/>
        <v>9116.8000000000011</v>
      </c>
      <c r="N442" s="115">
        <f t="shared" si="309"/>
        <v>9279.6</v>
      </c>
      <c r="O442" s="115">
        <f t="shared" si="309"/>
        <v>9442.4</v>
      </c>
      <c r="P442" s="115">
        <f t="shared" si="309"/>
        <v>9605.1999999999989</v>
      </c>
      <c r="Q442" s="115">
        <f t="shared" si="309"/>
        <v>9768</v>
      </c>
    </row>
    <row r="443" spans="1:17" s="36" customFormat="1" x14ac:dyDescent="0.25">
      <c r="A443" s="111">
        <f t="shared" si="300"/>
        <v>2900</v>
      </c>
      <c r="B443" s="111" t="str">
        <f t="shared" si="300"/>
        <v>After School Program Leader</v>
      </c>
      <c r="D443" s="111">
        <f t="shared" si="295"/>
        <v>8140</v>
      </c>
      <c r="F443" s="115">
        <f t="shared" ref="F443:Q443" si="310">$D443*(1+E$5)*F315</f>
        <v>0</v>
      </c>
      <c r="G443" s="115">
        <f t="shared" si="310"/>
        <v>0</v>
      </c>
      <c r="H443" s="115">
        <f t="shared" si="310"/>
        <v>0</v>
      </c>
      <c r="I443" s="115">
        <f t="shared" si="310"/>
        <v>8465.6</v>
      </c>
      <c r="J443" s="115">
        <f t="shared" si="310"/>
        <v>8628.4</v>
      </c>
      <c r="K443" s="115">
        <f t="shared" si="310"/>
        <v>8791.2000000000007</v>
      </c>
      <c r="L443" s="115">
        <f t="shared" si="310"/>
        <v>8954</v>
      </c>
      <c r="M443" s="115">
        <f t="shared" si="310"/>
        <v>9116.8000000000011</v>
      </c>
      <c r="N443" s="115">
        <f t="shared" si="310"/>
        <v>9279.6</v>
      </c>
      <c r="O443" s="115">
        <f t="shared" si="310"/>
        <v>9442.4</v>
      </c>
      <c r="P443" s="115">
        <f t="shared" si="310"/>
        <v>9605.1999999999989</v>
      </c>
      <c r="Q443" s="115">
        <f t="shared" si="310"/>
        <v>9768</v>
      </c>
    </row>
    <row r="444" spans="1:17" s="36" customFormat="1" x14ac:dyDescent="0.25">
      <c r="A444" s="111">
        <f t="shared" si="300"/>
        <v>2900</v>
      </c>
      <c r="B444" s="111" t="str">
        <f t="shared" si="300"/>
        <v>After School Program Leader</v>
      </c>
      <c r="D444" s="111">
        <f t="shared" si="295"/>
        <v>8140</v>
      </c>
      <c r="F444" s="115">
        <f t="shared" ref="F444:Q444" si="311">$D444*(1+E$5)*F316</f>
        <v>0</v>
      </c>
      <c r="G444" s="115">
        <f t="shared" si="311"/>
        <v>0</v>
      </c>
      <c r="H444" s="115">
        <f t="shared" si="311"/>
        <v>0</v>
      </c>
      <c r="I444" s="115">
        <f t="shared" si="311"/>
        <v>0</v>
      </c>
      <c r="J444" s="115">
        <f t="shared" si="311"/>
        <v>8628.4</v>
      </c>
      <c r="K444" s="115">
        <f t="shared" si="311"/>
        <v>8791.2000000000007</v>
      </c>
      <c r="L444" s="115">
        <f t="shared" si="311"/>
        <v>8954</v>
      </c>
      <c r="M444" s="115">
        <f t="shared" si="311"/>
        <v>9116.8000000000011</v>
      </c>
      <c r="N444" s="115">
        <f t="shared" si="311"/>
        <v>9279.6</v>
      </c>
      <c r="O444" s="115">
        <f t="shared" si="311"/>
        <v>9442.4</v>
      </c>
      <c r="P444" s="115">
        <f t="shared" si="311"/>
        <v>9605.1999999999989</v>
      </c>
      <c r="Q444" s="115">
        <f t="shared" si="311"/>
        <v>9768</v>
      </c>
    </row>
    <row r="445" spans="1:17" s="36" customFormat="1" x14ac:dyDescent="0.25">
      <c r="A445" s="111">
        <f t="shared" si="300"/>
        <v>2900</v>
      </c>
      <c r="B445" s="111" t="str">
        <f t="shared" si="300"/>
        <v>After School Program Leader</v>
      </c>
      <c r="D445" s="111">
        <f t="shared" si="295"/>
        <v>8140</v>
      </c>
      <c r="F445" s="115">
        <f t="shared" ref="F445:Q445" si="312">$D445*(1+E$5)*F317</f>
        <v>0</v>
      </c>
      <c r="G445" s="115">
        <f t="shared" si="312"/>
        <v>0</v>
      </c>
      <c r="H445" s="115">
        <f t="shared" si="312"/>
        <v>0</v>
      </c>
      <c r="I445" s="115">
        <f t="shared" si="312"/>
        <v>0</v>
      </c>
      <c r="J445" s="115">
        <f t="shared" si="312"/>
        <v>8628.4</v>
      </c>
      <c r="K445" s="115">
        <f t="shared" si="312"/>
        <v>8791.2000000000007</v>
      </c>
      <c r="L445" s="115">
        <f t="shared" si="312"/>
        <v>8954</v>
      </c>
      <c r="M445" s="115">
        <f t="shared" si="312"/>
        <v>9116.8000000000011</v>
      </c>
      <c r="N445" s="115">
        <f t="shared" si="312"/>
        <v>9279.6</v>
      </c>
      <c r="O445" s="115">
        <f t="shared" si="312"/>
        <v>9442.4</v>
      </c>
      <c r="P445" s="115">
        <f t="shared" si="312"/>
        <v>9605.1999999999989</v>
      </c>
      <c r="Q445" s="115">
        <f t="shared" si="312"/>
        <v>9768</v>
      </c>
    </row>
    <row r="446" spans="1:17" s="36" customFormat="1" x14ac:dyDescent="0.25">
      <c r="A446" s="111">
        <f t="shared" si="300"/>
        <v>2900</v>
      </c>
      <c r="B446" s="111" t="str">
        <f t="shared" si="300"/>
        <v>After School Program Leader</v>
      </c>
      <c r="D446" s="111">
        <f t="shared" si="295"/>
        <v>8140</v>
      </c>
      <c r="F446" s="115">
        <f t="shared" ref="F446:Q446" si="313">$D446*(1+E$5)*F318</f>
        <v>0</v>
      </c>
      <c r="G446" s="115">
        <f t="shared" si="313"/>
        <v>0</v>
      </c>
      <c r="H446" s="115">
        <f t="shared" si="313"/>
        <v>0</v>
      </c>
      <c r="I446" s="115">
        <f t="shared" si="313"/>
        <v>0</v>
      </c>
      <c r="J446" s="115">
        <f t="shared" si="313"/>
        <v>0</v>
      </c>
      <c r="K446" s="115">
        <f t="shared" si="313"/>
        <v>8791.2000000000007</v>
      </c>
      <c r="L446" s="115">
        <f t="shared" si="313"/>
        <v>8954</v>
      </c>
      <c r="M446" s="115">
        <f t="shared" si="313"/>
        <v>9116.8000000000011</v>
      </c>
      <c r="N446" s="115">
        <f t="shared" si="313"/>
        <v>9279.6</v>
      </c>
      <c r="O446" s="115">
        <f t="shared" si="313"/>
        <v>9442.4</v>
      </c>
      <c r="P446" s="115">
        <f t="shared" si="313"/>
        <v>9605.1999999999989</v>
      </c>
      <c r="Q446" s="115">
        <f t="shared" si="313"/>
        <v>9768</v>
      </c>
    </row>
    <row r="447" spans="1:17" s="36" customFormat="1" x14ac:dyDescent="0.25">
      <c r="A447" s="111">
        <f t="shared" si="300"/>
        <v>2900</v>
      </c>
      <c r="B447" s="111" t="str">
        <f t="shared" si="300"/>
        <v>After School Program Leader</v>
      </c>
      <c r="D447" s="111">
        <f t="shared" si="295"/>
        <v>8140</v>
      </c>
      <c r="F447" s="115">
        <f t="shared" ref="F447:Q447" si="314">$D447*(1+E$5)*F319</f>
        <v>0</v>
      </c>
      <c r="G447" s="115">
        <f t="shared" si="314"/>
        <v>0</v>
      </c>
      <c r="H447" s="115">
        <f t="shared" si="314"/>
        <v>0</v>
      </c>
      <c r="I447" s="115">
        <f t="shared" si="314"/>
        <v>0</v>
      </c>
      <c r="J447" s="115">
        <f t="shared" si="314"/>
        <v>0</v>
      </c>
      <c r="K447" s="115">
        <f t="shared" si="314"/>
        <v>8791.2000000000007</v>
      </c>
      <c r="L447" s="115">
        <f t="shared" si="314"/>
        <v>8954</v>
      </c>
      <c r="M447" s="115">
        <f t="shared" si="314"/>
        <v>9116.8000000000011</v>
      </c>
      <c r="N447" s="115">
        <f t="shared" si="314"/>
        <v>9279.6</v>
      </c>
      <c r="O447" s="115">
        <f t="shared" si="314"/>
        <v>9442.4</v>
      </c>
      <c r="P447" s="115">
        <f t="shared" si="314"/>
        <v>9605.1999999999989</v>
      </c>
      <c r="Q447" s="115">
        <f t="shared" si="314"/>
        <v>9768</v>
      </c>
    </row>
    <row r="448" spans="1:17" s="36" customFormat="1" x14ac:dyDescent="0.25">
      <c r="A448" s="111">
        <f t="shared" si="300"/>
        <v>2900</v>
      </c>
      <c r="B448" s="111" t="str">
        <f t="shared" si="300"/>
        <v>After School Program Leader</v>
      </c>
      <c r="D448" s="111">
        <f t="shared" si="295"/>
        <v>8140</v>
      </c>
      <c r="F448" s="115">
        <f t="shared" ref="F448:Q448" si="315">$D448*(1+E$5)*F320</f>
        <v>0</v>
      </c>
      <c r="G448" s="115">
        <f t="shared" si="315"/>
        <v>0</v>
      </c>
      <c r="H448" s="115">
        <f t="shared" si="315"/>
        <v>0</v>
      </c>
      <c r="I448" s="115">
        <f t="shared" si="315"/>
        <v>0</v>
      </c>
      <c r="J448" s="115">
        <f t="shared" si="315"/>
        <v>0</v>
      </c>
      <c r="K448" s="115">
        <f t="shared" si="315"/>
        <v>0</v>
      </c>
      <c r="L448" s="115">
        <f t="shared" si="315"/>
        <v>8954</v>
      </c>
      <c r="M448" s="115">
        <f t="shared" si="315"/>
        <v>9116.8000000000011</v>
      </c>
      <c r="N448" s="115">
        <f t="shared" si="315"/>
        <v>9279.6</v>
      </c>
      <c r="O448" s="115">
        <f t="shared" si="315"/>
        <v>9442.4</v>
      </c>
      <c r="P448" s="115">
        <f t="shared" si="315"/>
        <v>9605.1999999999989</v>
      </c>
      <c r="Q448" s="115">
        <f t="shared" si="315"/>
        <v>9768</v>
      </c>
    </row>
    <row r="449" spans="1:17" s="36" customFormat="1" x14ac:dyDescent="0.25">
      <c r="A449" s="111">
        <f t="shared" si="300"/>
        <v>2900</v>
      </c>
      <c r="B449" s="111" t="str">
        <f t="shared" si="300"/>
        <v>After School Program Leader</v>
      </c>
      <c r="D449" s="111">
        <f t="shared" si="295"/>
        <v>8140</v>
      </c>
      <c r="F449" s="115">
        <f t="shared" ref="F449:Q449" si="316">$D449*(1+E$5)*F321</f>
        <v>0</v>
      </c>
      <c r="G449" s="115">
        <f t="shared" si="316"/>
        <v>0</v>
      </c>
      <c r="H449" s="115">
        <f t="shared" si="316"/>
        <v>0</v>
      </c>
      <c r="I449" s="115">
        <f t="shared" si="316"/>
        <v>0</v>
      </c>
      <c r="J449" s="115">
        <f t="shared" si="316"/>
        <v>0</v>
      </c>
      <c r="K449" s="115">
        <f t="shared" si="316"/>
        <v>0</v>
      </c>
      <c r="L449" s="115">
        <f t="shared" si="316"/>
        <v>8954</v>
      </c>
      <c r="M449" s="115">
        <f t="shared" si="316"/>
        <v>9116.8000000000011</v>
      </c>
      <c r="N449" s="115">
        <f t="shared" si="316"/>
        <v>9279.6</v>
      </c>
      <c r="O449" s="115">
        <f t="shared" si="316"/>
        <v>9442.4</v>
      </c>
      <c r="P449" s="115">
        <f t="shared" si="316"/>
        <v>9605.1999999999989</v>
      </c>
      <c r="Q449" s="115">
        <f t="shared" si="316"/>
        <v>9768</v>
      </c>
    </row>
    <row r="450" spans="1:17" s="36" customFormat="1" x14ac:dyDescent="0.25">
      <c r="A450" s="111">
        <f t="shared" si="300"/>
        <v>2900</v>
      </c>
      <c r="B450" s="111" t="str">
        <f t="shared" si="300"/>
        <v>After School Program Leader</v>
      </c>
      <c r="D450" s="111">
        <f t="shared" si="295"/>
        <v>8140</v>
      </c>
      <c r="F450" s="115">
        <f t="shared" ref="F450:Q450" si="317">$D450*(1+E$5)*F322</f>
        <v>0</v>
      </c>
      <c r="G450" s="115">
        <f t="shared" si="317"/>
        <v>0</v>
      </c>
      <c r="H450" s="115">
        <f t="shared" si="317"/>
        <v>0</v>
      </c>
      <c r="I450" s="115">
        <f t="shared" si="317"/>
        <v>0</v>
      </c>
      <c r="J450" s="115">
        <f t="shared" si="317"/>
        <v>0</v>
      </c>
      <c r="K450" s="115">
        <f t="shared" si="317"/>
        <v>0</v>
      </c>
      <c r="L450" s="115">
        <f t="shared" si="317"/>
        <v>0</v>
      </c>
      <c r="M450" s="115">
        <f t="shared" si="317"/>
        <v>9116.8000000000011</v>
      </c>
      <c r="N450" s="115">
        <f t="shared" si="317"/>
        <v>0</v>
      </c>
      <c r="O450" s="115">
        <f t="shared" si="317"/>
        <v>0</v>
      </c>
      <c r="P450" s="115">
        <f t="shared" si="317"/>
        <v>0</v>
      </c>
      <c r="Q450" s="115">
        <f t="shared" si="317"/>
        <v>0</v>
      </c>
    </row>
    <row r="451" spans="1:17" s="36" customFormat="1" x14ac:dyDescent="0.25">
      <c r="A451" s="111">
        <f t="shared" si="300"/>
        <v>2900</v>
      </c>
      <c r="B451" s="111" t="str">
        <f t="shared" si="300"/>
        <v>After School Program Leader</v>
      </c>
      <c r="D451" s="111">
        <f t="shared" si="295"/>
        <v>8140</v>
      </c>
      <c r="F451" s="115">
        <f t="shared" ref="F451:Q451" si="318">$D451*(1+E$5)*F323</f>
        <v>0</v>
      </c>
      <c r="G451" s="115">
        <f t="shared" si="318"/>
        <v>0</v>
      </c>
      <c r="H451" s="115">
        <f t="shared" si="318"/>
        <v>0</v>
      </c>
      <c r="I451" s="115">
        <f t="shared" si="318"/>
        <v>0</v>
      </c>
      <c r="J451" s="115">
        <f t="shared" si="318"/>
        <v>0</v>
      </c>
      <c r="K451" s="115">
        <f t="shared" si="318"/>
        <v>0</v>
      </c>
      <c r="L451" s="115">
        <f t="shared" si="318"/>
        <v>0</v>
      </c>
      <c r="M451" s="115">
        <f t="shared" si="318"/>
        <v>4558.4000000000005</v>
      </c>
      <c r="N451" s="115">
        <f t="shared" si="318"/>
        <v>0</v>
      </c>
      <c r="O451" s="115">
        <f t="shared" si="318"/>
        <v>0</v>
      </c>
      <c r="P451" s="115">
        <f t="shared" si="318"/>
        <v>0</v>
      </c>
      <c r="Q451" s="115">
        <f t="shared" si="318"/>
        <v>0</v>
      </c>
    </row>
    <row r="452" spans="1:17" s="36" customFormat="1" x14ac:dyDescent="0.25">
      <c r="A452" s="111">
        <f t="shared" si="300"/>
        <v>2900</v>
      </c>
      <c r="B452" s="111" t="str">
        <f t="shared" si="300"/>
        <v>After School Program Leader</v>
      </c>
      <c r="D452" s="111">
        <f t="shared" si="295"/>
        <v>8140</v>
      </c>
      <c r="F452" s="115">
        <f t="shared" ref="F452:Q452" si="319">$D452*(1+E$5)*F324</f>
        <v>0</v>
      </c>
      <c r="G452" s="115">
        <f t="shared" si="319"/>
        <v>0</v>
      </c>
      <c r="H452" s="115">
        <f t="shared" si="319"/>
        <v>0</v>
      </c>
      <c r="I452" s="115">
        <f t="shared" si="319"/>
        <v>0</v>
      </c>
      <c r="J452" s="115">
        <f t="shared" si="319"/>
        <v>0</v>
      </c>
      <c r="K452" s="115">
        <f t="shared" si="319"/>
        <v>0</v>
      </c>
      <c r="L452" s="115">
        <f t="shared" si="319"/>
        <v>0</v>
      </c>
      <c r="M452" s="115">
        <f t="shared" si="319"/>
        <v>0</v>
      </c>
      <c r="N452" s="115">
        <f t="shared" si="319"/>
        <v>0</v>
      </c>
      <c r="O452" s="115">
        <f t="shared" si="319"/>
        <v>0</v>
      </c>
      <c r="P452" s="115">
        <f t="shared" si="319"/>
        <v>0</v>
      </c>
      <c r="Q452" s="115">
        <f t="shared" si="319"/>
        <v>0</v>
      </c>
    </row>
    <row r="453" spans="1:17" s="36" customFormat="1" x14ac:dyDescent="0.25">
      <c r="A453" s="111">
        <f t="shared" si="300"/>
        <v>2900</v>
      </c>
      <c r="B453" s="111" t="str">
        <f t="shared" si="300"/>
        <v>After School Program Leader</v>
      </c>
      <c r="D453" s="111">
        <f t="shared" si="295"/>
        <v>8140</v>
      </c>
      <c r="F453" s="115">
        <f t="shared" ref="F453:Q453" si="320">$D453*(1+E$5)*F325</f>
        <v>0</v>
      </c>
      <c r="G453" s="115">
        <f t="shared" si="320"/>
        <v>0</v>
      </c>
      <c r="H453" s="115">
        <f t="shared" si="320"/>
        <v>0</v>
      </c>
      <c r="I453" s="115">
        <f t="shared" si="320"/>
        <v>0</v>
      </c>
      <c r="J453" s="115">
        <f t="shared" si="320"/>
        <v>0</v>
      </c>
      <c r="K453" s="115">
        <f t="shared" si="320"/>
        <v>0</v>
      </c>
      <c r="L453" s="115">
        <f t="shared" si="320"/>
        <v>0</v>
      </c>
      <c r="M453" s="115">
        <f t="shared" si="320"/>
        <v>0</v>
      </c>
      <c r="N453" s="115">
        <f t="shared" si="320"/>
        <v>0</v>
      </c>
      <c r="O453" s="115">
        <f t="shared" si="320"/>
        <v>0</v>
      </c>
      <c r="P453" s="115">
        <f t="shared" si="320"/>
        <v>0</v>
      </c>
      <c r="Q453" s="115">
        <f t="shared" si="320"/>
        <v>0</v>
      </c>
    </row>
    <row r="454" spans="1:17" s="36" customFormat="1" x14ac:dyDescent="0.25">
      <c r="A454" s="111">
        <f t="shared" ref="A454:B458" si="321">A326</f>
        <v>2900</v>
      </c>
      <c r="B454" s="111" t="str">
        <f t="shared" si="321"/>
        <v>After School Program Leader</v>
      </c>
      <c r="D454" s="111">
        <f t="shared" si="295"/>
        <v>8140</v>
      </c>
      <c r="F454" s="115">
        <f t="shared" ref="F454:Q454" si="322">$D454*(1+E$5)*F326</f>
        <v>0</v>
      </c>
      <c r="G454" s="115">
        <f t="shared" si="322"/>
        <v>0</v>
      </c>
      <c r="H454" s="115">
        <f t="shared" si="322"/>
        <v>0</v>
      </c>
      <c r="I454" s="115">
        <f t="shared" si="322"/>
        <v>0</v>
      </c>
      <c r="J454" s="115">
        <f t="shared" si="322"/>
        <v>0</v>
      </c>
      <c r="K454" s="115">
        <f t="shared" si="322"/>
        <v>0</v>
      </c>
      <c r="L454" s="115">
        <f t="shared" si="322"/>
        <v>0</v>
      </c>
      <c r="M454" s="115">
        <f t="shared" si="322"/>
        <v>0</v>
      </c>
      <c r="N454" s="115">
        <f t="shared" si="322"/>
        <v>0</v>
      </c>
      <c r="O454" s="115">
        <f t="shared" si="322"/>
        <v>0</v>
      </c>
      <c r="P454" s="115">
        <f t="shared" si="322"/>
        <v>0</v>
      </c>
      <c r="Q454" s="115">
        <f t="shared" si="322"/>
        <v>0</v>
      </c>
    </row>
    <row r="455" spans="1:17" s="36" customFormat="1" x14ac:dyDescent="0.25">
      <c r="A455" s="111">
        <f t="shared" si="321"/>
        <v>2900</v>
      </c>
      <c r="B455" s="111" t="str">
        <f t="shared" si="321"/>
        <v>After School Program Leader</v>
      </c>
      <c r="D455" s="111">
        <f t="shared" si="295"/>
        <v>8140</v>
      </c>
      <c r="F455" s="115">
        <f t="shared" ref="F455:Q455" si="323">$D455*(1+E$5)*F327</f>
        <v>0</v>
      </c>
      <c r="G455" s="115">
        <f t="shared" si="323"/>
        <v>0</v>
      </c>
      <c r="H455" s="115">
        <f t="shared" si="323"/>
        <v>0</v>
      </c>
      <c r="I455" s="115">
        <f t="shared" si="323"/>
        <v>0</v>
      </c>
      <c r="J455" s="115">
        <f t="shared" si="323"/>
        <v>0</v>
      </c>
      <c r="K455" s="115">
        <f t="shared" si="323"/>
        <v>0</v>
      </c>
      <c r="L455" s="115">
        <f t="shared" si="323"/>
        <v>0</v>
      </c>
      <c r="M455" s="115">
        <f t="shared" si="323"/>
        <v>0</v>
      </c>
      <c r="N455" s="115">
        <f t="shared" si="323"/>
        <v>0</v>
      </c>
      <c r="O455" s="115">
        <f t="shared" si="323"/>
        <v>0</v>
      </c>
      <c r="P455" s="115">
        <f t="shared" si="323"/>
        <v>0</v>
      </c>
      <c r="Q455" s="115">
        <f t="shared" si="323"/>
        <v>0</v>
      </c>
    </row>
    <row r="456" spans="1:17" s="36" customFormat="1" x14ac:dyDescent="0.25">
      <c r="A456" s="111">
        <f t="shared" si="321"/>
        <v>2900</v>
      </c>
      <c r="B456" s="111" t="str">
        <f t="shared" si="321"/>
        <v>After School Program Leader</v>
      </c>
      <c r="D456" s="111">
        <f t="shared" si="295"/>
        <v>8140</v>
      </c>
      <c r="F456" s="115">
        <f t="shared" ref="F456:Q456" si="324">$D456*(1+E$5)*F328</f>
        <v>0</v>
      </c>
      <c r="G456" s="115">
        <f t="shared" si="324"/>
        <v>0</v>
      </c>
      <c r="H456" s="115">
        <f t="shared" si="324"/>
        <v>0</v>
      </c>
      <c r="I456" s="115">
        <f t="shared" si="324"/>
        <v>0</v>
      </c>
      <c r="J456" s="115">
        <f t="shared" si="324"/>
        <v>0</v>
      </c>
      <c r="K456" s="115">
        <f t="shared" si="324"/>
        <v>0</v>
      </c>
      <c r="L456" s="115">
        <f t="shared" si="324"/>
        <v>0</v>
      </c>
      <c r="M456" s="115">
        <f t="shared" si="324"/>
        <v>0</v>
      </c>
      <c r="N456" s="115">
        <f t="shared" si="324"/>
        <v>0</v>
      </c>
      <c r="O456" s="115">
        <f t="shared" si="324"/>
        <v>0</v>
      </c>
      <c r="P456" s="115">
        <f t="shared" si="324"/>
        <v>0</v>
      </c>
      <c r="Q456" s="115">
        <f t="shared" si="324"/>
        <v>0</v>
      </c>
    </row>
    <row r="457" spans="1:17" s="36" customFormat="1" x14ac:dyDescent="0.25">
      <c r="A457" s="111">
        <f t="shared" si="321"/>
        <v>2900</v>
      </c>
      <c r="B457" s="111" t="str">
        <f t="shared" si="321"/>
        <v>After School Program Leader</v>
      </c>
      <c r="D457" s="111">
        <f t="shared" si="295"/>
        <v>8140</v>
      </c>
      <c r="F457" s="115">
        <f t="shared" ref="F457:Q457" si="325">$D457*(1+E$5)*F329</f>
        <v>0</v>
      </c>
      <c r="G457" s="115">
        <f t="shared" si="325"/>
        <v>0</v>
      </c>
      <c r="H457" s="115">
        <f t="shared" si="325"/>
        <v>0</v>
      </c>
      <c r="I457" s="115">
        <f t="shared" si="325"/>
        <v>0</v>
      </c>
      <c r="J457" s="115">
        <f t="shared" si="325"/>
        <v>0</v>
      </c>
      <c r="K457" s="115">
        <f t="shared" si="325"/>
        <v>0</v>
      </c>
      <c r="L457" s="115">
        <f t="shared" si="325"/>
        <v>0</v>
      </c>
      <c r="M457" s="115">
        <f t="shared" si="325"/>
        <v>0</v>
      </c>
      <c r="N457" s="115">
        <f t="shared" si="325"/>
        <v>0</v>
      </c>
      <c r="O457" s="115">
        <f t="shared" si="325"/>
        <v>0</v>
      </c>
      <c r="P457" s="115">
        <f t="shared" si="325"/>
        <v>0</v>
      </c>
      <c r="Q457" s="115">
        <f t="shared" si="325"/>
        <v>0</v>
      </c>
    </row>
    <row r="458" spans="1:17" s="36" customFormat="1" x14ac:dyDescent="0.25">
      <c r="A458" s="111">
        <f t="shared" si="321"/>
        <v>2900</v>
      </c>
      <c r="B458" s="111" t="str">
        <f t="shared" si="321"/>
        <v>After School Program Leader</v>
      </c>
      <c r="D458" s="111">
        <f t="shared" si="295"/>
        <v>8140</v>
      </c>
      <c r="F458" s="116">
        <f t="shared" ref="F458:Q458" si="326">$D458*(1+E$5)*F330</f>
        <v>0</v>
      </c>
      <c r="G458" s="116">
        <f t="shared" si="326"/>
        <v>0</v>
      </c>
      <c r="H458" s="116">
        <f t="shared" si="326"/>
        <v>0</v>
      </c>
      <c r="I458" s="116">
        <f t="shared" si="326"/>
        <v>0</v>
      </c>
      <c r="J458" s="116">
        <f t="shared" si="326"/>
        <v>0</v>
      </c>
      <c r="K458" s="116">
        <f t="shared" si="326"/>
        <v>0</v>
      </c>
      <c r="L458" s="116">
        <f t="shared" si="326"/>
        <v>0</v>
      </c>
      <c r="M458" s="116">
        <f t="shared" si="326"/>
        <v>0</v>
      </c>
      <c r="N458" s="116">
        <f t="shared" si="326"/>
        <v>0</v>
      </c>
      <c r="O458" s="116">
        <f t="shared" si="326"/>
        <v>0</v>
      </c>
      <c r="P458" s="116">
        <f t="shared" si="326"/>
        <v>0</v>
      </c>
      <c r="Q458" s="115">
        <f t="shared" si="326"/>
        <v>0</v>
      </c>
    </row>
    <row r="459" spans="1:17" x14ac:dyDescent="0.25">
      <c r="A459"/>
      <c r="E459"/>
      <c r="F459" s="48" t="e">
        <f>SUM(F334:F458)</f>
        <v>#REF!</v>
      </c>
      <c r="G459" s="48" t="e">
        <f t="shared" ref="G459:Q459" si="327">SUM(G334:G458)</f>
        <v>#REF!</v>
      </c>
      <c r="H459" s="48" t="e">
        <f t="shared" si="327"/>
        <v>#REF!</v>
      </c>
      <c r="I459" s="48" t="e">
        <f t="shared" si="327"/>
        <v>#REF!</v>
      </c>
      <c r="J459" s="48" t="e">
        <f t="shared" si="327"/>
        <v>#REF!</v>
      </c>
      <c r="K459" s="48" t="e">
        <f t="shared" si="327"/>
        <v>#REF!</v>
      </c>
      <c r="L459" s="48" t="e">
        <f t="shared" si="327"/>
        <v>#REF!</v>
      </c>
      <c r="M459" s="48" t="e">
        <f t="shared" si="327"/>
        <v>#REF!</v>
      </c>
      <c r="N459" s="48" t="e">
        <f t="shared" si="327"/>
        <v>#REF!</v>
      </c>
      <c r="O459" s="48" t="e">
        <f t="shared" si="327"/>
        <v>#REF!</v>
      </c>
      <c r="P459" s="48" t="e">
        <f t="shared" si="327"/>
        <v>#REF!</v>
      </c>
      <c r="Q459" s="48" t="e">
        <f t="shared" si="327"/>
        <v>#REF!</v>
      </c>
    </row>
    <row r="460" spans="1:17" x14ac:dyDescent="0.25">
      <c r="A460"/>
      <c r="E460"/>
      <c r="J460" s="48" t="e">
        <f>J459-J60-J66</f>
        <v>#REF!</v>
      </c>
      <c r="K460" s="48" t="e">
        <f>K459-K60-K66</f>
        <v>#REF!</v>
      </c>
    </row>
    <row r="461" spans="1:17" x14ac:dyDescent="0.25">
      <c r="A461"/>
      <c r="E461"/>
    </row>
    <row r="462" spans="1:17" x14ac:dyDescent="0.25">
      <c r="A462"/>
      <c r="E462"/>
    </row>
    <row r="463" spans="1:17" x14ac:dyDescent="0.25">
      <c r="A463"/>
      <c r="E463"/>
    </row>
    <row r="464" spans="1:17" x14ac:dyDescent="0.25">
      <c r="A464"/>
      <c r="E464"/>
    </row>
    <row r="465" spans="1:5" x14ac:dyDescent="0.25">
      <c r="A465"/>
      <c r="E465"/>
    </row>
    <row r="466" spans="1:5" x14ac:dyDescent="0.25">
      <c r="A466"/>
      <c r="E466"/>
    </row>
    <row r="467" spans="1:5" x14ac:dyDescent="0.25">
      <c r="A467"/>
      <c r="E467"/>
    </row>
    <row r="468" spans="1:5" x14ac:dyDescent="0.25">
      <c r="A468"/>
      <c r="E468"/>
    </row>
    <row r="469" spans="1:5" x14ac:dyDescent="0.25">
      <c r="A469"/>
      <c r="E469"/>
    </row>
    <row r="470" spans="1:5" x14ac:dyDescent="0.25">
      <c r="A470"/>
      <c r="E470"/>
    </row>
    <row r="471" spans="1:5" x14ac:dyDescent="0.25">
      <c r="A471"/>
      <c r="E471"/>
    </row>
    <row r="472" spans="1:5" x14ac:dyDescent="0.25">
      <c r="A472"/>
      <c r="E472"/>
    </row>
    <row r="473" spans="1:5" x14ac:dyDescent="0.25">
      <c r="A473"/>
      <c r="E473"/>
    </row>
    <row r="474" spans="1:5" x14ac:dyDescent="0.25">
      <c r="A474"/>
      <c r="E474"/>
    </row>
    <row r="475" spans="1:5" x14ac:dyDescent="0.25">
      <c r="A475"/>
      <c r="E475"/>
    </row>
    <row r="476" spans="1:5" x14ac:dyDescent="0.25">
      <c r="A476"/>
      <c r="E476"/>
    </row>
    <row r="477" spans="1:5" x14ac:dyDescent="0.25">
      <c r="A477"/>
      <c r="E477"/>
    </row>
    <row r="478" spans="1:5" x14ac:dyDescent="0.25">
      <c r="A478"/>
      <c r="E478"/>
    </row>
    <row r="479" spans="1:5" x14ac:dyDescent="0.25">
      <c r="A479"/>
      <c r="E479"/>
    </row>
    <row r="480" spans="1:5" s="36" customFormat="1" x14ac:dyDescent="0.25">
      <c r="A480" s="111"/>
    </row>
    <row r="481" spans="1:1" s="36" customFormat="1" x14ac:dyDescent="0.25">
      <c r="A481" s="111"/>
    </row>
    <row r="482" spans="1:1" s="36" customFormat="1" x14ac:dyDescent="0.25">
      <c r="A482" s="111"/>
    </row>
    <row r="483" spans="1:1" s="36" customFormat="1" x14ac:dyDescent="0.25">
      <c r="A483" s="111"/>
    </row>
    <row r="484" spans="1:1" s="36" customFormat="1" x14ac:dyDescent="0.25">
      <c r="A484" s="111"/>
    </row>
    <row r="485" spans="1:1" s="36" customFormat="1" x14ac:dyDescent="0.25">
      <c r="A485" s="111"/>
    </row>
    <row r="486" spans="1:1" s="36" customFormat="1" x14ac:dyDescent="0.25">
      <c r="A486" s="111"/>
    </row>
    <row r="487" spans="1:1" s="36" customFormat="1" x14ac:dyDescent="0.25">
      <c r="A487" s="111"/>
    </row>
    <row r="488" spans="1:1" s="36" customFormat="1" x14ac:dyDescent="0.25">
      <c r="A488" s="111"/>
    </row>
    <row r="489" spans="1:1" s="36" customFormat="1" x14ac:dyDescent="0.25">
      <c r="A489" s="111"/>
    </row>
    <row r="490" spans="1:1" s="36" customFormat="1" x14ac:dyDescent="0.25">
      <c r="A490" s="111"/>
    </row>
    <row r="491" spans="1:1" s="36" customFormat="1" x14ac:dyDescent="0.25">
      <c r="A491" s="111"/>
    </row>
    <row r="492" spans="1:1" s="36" customFormat="1" x14ac:dyDescent="0.25">
      <c r="A492" s="111"/>
    </row>
    <row r="493" spans="1:1" s="36" customFormat="1" x14ac:dyDescent="0.25">
      <c r="A493" s="111"/>
    </row>
    <row r="494" spans="1:1" s="36" customFormat="1" x14ac:dyDescent="0.25">
      <c r="A494" s="111"/>
    </row>
    <row r="495" spans="1:1" s="36" customFormat="1" x14ac:dyDescent="0.25">
      <c r="A495" s="111"/>
    </row>
    <row r="496" spans="1:1" s="36" customFormat="1" x14ac:dyDescent="0.25">
      <c r="A496" s="111"/>
    </row>
    <row r="497" spans="1:1" s="36" customFormat="1" x14ac:dyDescent="0.25">
      <c r="A497" s="111"/>
    </row>
    <row r="498" spans="1:1" s="36" customFormat="1" x14ac:dyDescent="0.25">
      <c r="A498" s="111"/>
    </row>
    <row r="499" spans="1:1" s="36" customFormat="1" x14ac:dyDescent="0.25">
      <c r="A499" s="111"/>
    </row>
    <row r="500" spans="1:1" s="36" customFormat="1" x14ac:dyDescent="0.25">
      <c r="A500" s="111"/>
    </row>
    <row r="501" spans="1:1" s="36" customFormat="1" x14ac:dyDescent="0.25">
      <c r="A501" s="111"/>
    </row>
    <row r="502" spans="1:1" s="36" customFormat="1" x14ac:dyDescent="0.25">
      <c r="A502" s="111"/>
    </row>
    <row r="503" spans="1:1" s="36" customFormat="1" x14ac:dyDescent="0.25">
      <c r="A503" s="111"/>
    </row>
    <row r="504" spans="1:1" s="36" customFormat="1" x14ac:dyDescent="0.25">
      <c r="A504" s="111"/>
    </row>
    <row r="505" spans="1:1" s="36" customFormat="1" x14ac:dyDescent="0.25">
      <c r="A505" s="111"/>
    </row>
    <row r="506" spans="1:1" s="36" customFormat="1" x14ac:dyDescent="0.25">
      <c r="A506" s="111"/>
    </row>
    <row r="507" spans="1:1" s="36" customFormat="1" x14ac:dyDescent="0.25">
      <c r="A507" s="111"/>
    </row>
    <row r="508" spans="1:1" s="36" customFormat="1" x14ac:dyDescent="0.25">
      <c r="A508" s="111"/>
    </row>
    <row r="509" spans="1:1" s="36" customFormat="1" x14ac:dyDescent="0.25">
      <c r="A509" s="111"/>
    </row>
    <row r="510" spans="1:1" s="36" customFormat="1" x14ac:dyDescent="0.25">
      <c r="A510" s="111"/>
    </row>
    <row r="511" spans="1:1" s="36" customFormat="1" x14ac:dyDescent="0.25">
      <c r="A511" s="111"/>
    </row>
    <row r="512" spans="1:1" s="36" customFormat="1" x14ac:dyDescent="0.25">
      <c r="A512" s="111"/>
    </row>
    <row r="513" spans="1:1" s="36" customFormat="1" x14ac:dyDescent="0.25">
      <c r="A513" s="111"/>
    </row>
    <row r="514" spans="1:1" s="36" customFormat="1" x14ac:dyDescent="0.25">
      <c r="A514" s="111"/>
    </row>
    <row r="515" spans="1:1" s="36" customFormat="1" x14ac:dyDescent="0.25">
      <c r="A515" s="111"/>
    </row>
    <row r="516" spans="1:1" s="36" customFormat="1" x14ac:dyDescent="0.25">
      <c r="A516" s="111"/>
    </row>
    <row r="517" spans="1:1" s="36" customFormat="1" x14ac:dyDescent="0.25">
      <c r="A517" s="111"/>
    </row>
    <row r="518" spans="1:1" s="36" customFormat="1" x14ac:dyDescent="0.25">
      <c r="A518" s="111"/>
    </row>
    <row r="519" spans="1:1" s="36" customFormat="1" x14ac:dyDescent="0.25">
      <c r="A519" s="111"/>
    </row>
    <row r="520" spans="1:1" s="36" customFormat="1" x14ac:dyDescent="0.25">
      <c r="A520" s="111"/>
    </row>
    <row r="521" spans="1:1" s="36" customFormat="1" x14ac:dyDescent="0.25">
      <c r="A521" s="111"/>
    </row>
    <row r="522" spans="1:1" s="36" customFormat="1" x14ac:dyDescent="0.25">
      <c r="A522" s="111"/>
    </row>
    <row r="523" spans="1:1" s="36" customFormat="1" x14ac:dyDescent="0.25">
      <c r="A523" s="111"/>
    </row>
    <row r="524" spans="1:1" s="36" customFormat="1" x14ac:dyDescent="0.25">
      <c r="A524" s="111"/>
    </row>
    <row r="525" spans="1:1" s="36" customFormat="1" x14ac:dyDescent="0.25">
      <c r="A525" s="111"/>
    </row>
    <row r="526" spans="1:1" s="36" customFormat="1" x14ac:dyDescent="0.25">
      <c r="A526" s="111"/>
    </row>
    <row r="527" spans="1:1" s="36" customFormat="1" x14ac:dyDescent="0.25">
      <c r="A527" s="111"/>
    </row>
    <row r="528" spans="1:1" s="36" customFormat="1" x14ac:dyDescent="0.25">
      <c r="A528" s="111"/>
    </row>
    <row r="529" spans="1:1" s="36" customFormat="1" x14ac:dyDescent="0.25">
      <c r="A529" s="111"/>
    </row>
    <row r="530" spans="1:1" s="36" customFormat="1" x14ac:dyDescent="0.25">
      <c r="A530" s="111"/>
    </row>
    <row r="531" spans="1:1" s="36" customFormat="1" x14ac:dyDescent="0.25">
      <c r="A531" s="111"/>
    </row>
    <row r="532" spans="1:1" s="36" customFormat="1" x14ac:dyDescent="0.25">
      <c r="A532" s="111"/>
    </row>
    <row r="533" spans="1:1" s="36" customFormat="1" x14ac:dyDescent="0.25">
      <c r="A533" s="111"/>
    </row>
    <row r="534" spans="1:1" s="36" customFormat="1" x14ac:dyDescent="0.25">
      <c r="A534" s="111"/>
    </row>
    <row r="535" spans="1:1" s="36" customFormat="1" x14ac:dyDescent="0.25">
      <c r="A535" s="111"/>
    </row>
    <row r="536" spans="1:1" s="36" customFormat="1" x14ac:dyDescent="0.25">
      <c r="A536" s="111"/>
    </row>
    <row r="537" spans="1:1" s="36" customFormat="1" x14ac:dyDescent="0.25">
      <c r="A537" s="111"/>
    </row>
    <row r="538" spans="1:1" s="36" customFormat="1" x14ac:dyDescent="0.25">
      <c r="A538" s="111"/>
    </row>
    <row r="539" spans="1:1" s="36" customFormat="1" x14ac:dyDescent="0.25">
      <c r="A539" s="111"/>
    </row>
    <row r="540" spans="1:1" s="36" customFormat="1" x14ac:dyDescent="0.25">
      <c r="A540" s="111"/>
    </row>
    <row r="541" spans="1:1" s="36" customFormat="1" x14ac:dyDescent="0.25">
      <c r="A541" s="111"/>
    </row>
    <row r="542" spans="1:1" s="36" customFormat="1" x14ac:dyDescent="0.25">
      <c r="A542" s="111"/>
    </row>
    <row r="543" spans="1:1" s="36" customFormat="1" x14ac:dyDescent="0.25">
      <c r="A543" s="111"/>
    </row>
    <row r="544" spans="1:1" s="36" customFormat="1" x14ac:dyDescent="0.25">
      <c r="A544" s="111"/>
    </row>
    <row r="545" spans="1:1" s="36" customFormat="1" x14ac:dyDescent="0.25">
      <c r="A545" s="111"/>
    </row>
    <row r="546" spans="1:1" s="36" customFormat="1" x14ac:dyDescent="0.25">
      <c r="A546" s="111"/>
    </row>
    <row r="547" spans="1:1" s="36" customFormat="1" x14ac:dyDescent="0.25">
      <c r="A547" s="111"/>
    </row>
    <row r="548" spans="1:1" s="36" customFormat="1" x14ac:dyDescent="0.25">
      <c r="A548" s="111"/>
    </row>
    <row r="549" spans="1:1" s="36" customFormat="1" x14ac:dyDescent="0.25">
      <c r="A549" s="111"/>
    </row>
    <row r="550" spans="1:1" s="36" customFormat="1" x14ac:dyDescent="0.25">
      <c r="A550" s="111"/>
    </row>
    <row r="551" spans="1:1" s="36" customFormat="1" x14ac:dyDescent="0.25">
      <c r="A551" s="111"/>
    </row>
    <row r="552" spans="1:1" s="36" customFormat="1" x14ac:dyDescent="0.25">
      <c r="A552" s="111"/>
    </row>
    <row r="553" spans="1:1" s="36" customFormat="1" x14ac:dyDescent="0.25">
      <c r="A553" s="111"/>
    </row>
    <row r="554" spans="1:1" s="36" customFormat="1" x14ac:dyDescent="0.25">
      <c r="A554" s="111"/>
    </row>
    <row r="555" spans="1:1" s="36" customFormat="1" x14ac:dyDescent="0.25">
      <c r="A555" s="111"/>
    </row>
    <row r="556" spans="1:1" s="36" customFormat="1" x14ac:dyDescent="0.25">
      <c r="A556" s="111"/>
    </row>
    <row r="557" spans="1:1" s="36" customFormat="1" x14ac:dyDescent="0.25">
      <c r="A557" s="111"/>
    </row>
    <row r="558" spans="1:1" s="36" customFormat="1" x14ac:dyDescent="0.25">
      <c r="A558" s="111"/>
    </row>
    <row r="559" spans="1:1" s="36" customFormat="1" x14ac:dyDescent="0.25">
      <c r="A559" s="111"/>
    </row>
    <row r="560" spans="1:1" s="36" customFormat="1" x14ac:dyDescent="0.25">
      <c r="A560" s="111"/>
    </row>
    <row r="561" spans="1:5" s="36" customFormat="1" x14ac:dyDescent="0.25">
      <c r="A561" s="111"/>
    </row>
    <row r="562" spans="1:5" s="36" customFormat="1" x14ac:dyDescent="0.25">
      <c r="A562" s="111"/>
    </row>
    <row r="563" spans="1:5" x14ac:dyDescent="0.25">
      <c r="E563"/>
    </row>
    <row r="564" spans="1:5" x14ac:dyDescent="0.25">
      <c r="E564"/>
    </row>
    <row r="565" spans="1:5" x14ac:dyDescent="0.25">
      <c r="E565"/>
    </row>
    <row r="566" spans="1:5" x14ac:dyDescent="0.25">
      <c r="E566"/>
    </row>
    <row r="567" spans="1:5" x14ac:dyDescent="0.25">
      <c r="E567"/>
    </row>
    <row r="568" spans="1:5" x14ac:dyDescent="0.25">
      <c r="E568"/>
    </row>
    <row r="569" spans="1:5" x14ac:dyDescent="0.25">
      <c r="E569"/>
    </row>
    <row r="570" spans="1:5" x14ac:dyDescent="0.25">
      <c r="E570"/>
    </row>
    <row r="571" spans="1:5" x14ac:dyDescent="0.25">
      <c r="E571"/>
    </row>
    <row r="572" spans="1:5" x14ac:dyDescent="0.25">
      <c r="E572"/>
    </row>
    <row r="573" spans="1:5" x14ac:dyDescent="0.25">
      <c r="E573"/>
    </row>
    <row r="574" spans="1:5" x14ac:dyDescent="0.25">
      <c r="E574"/>
    </row>
    <row r="575" spans="1:5" x14ac:dyDescent="0.25">
      <c r="E575"/>
    </row>
    <row r="576" spans="1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</sheetData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05"/>
  <sheetViews>
    <sheetView workbookViewId="0"/>
  </sheetViews>
  <sheetFormatPr defaultColWidth="8.85546875" defaultRowHeight="15" outlineLevelRow="1" x14ac:dyDescent="0.25"/>
  <cols>
    <col min="1" max="1" width="5" style="37" customWidth="1"/>
    <col min="2" max="2" width="50.85546875" customWidth="1"/>
    <col min="3" max="3" width="40.7109375" customWidth="1"/>
    <col min="4" max="4" width="10.42578125" customWidth="1"/>
    <col min="5" max="5" width="20" style="44" customWidth="1"/>
    <col min="6" max="14" width="20" customWidth="1"/>
    <col min="15" max="19" width="15.7109375" customWidth="1"/>
  </cols>
  <sheetData>
    <row r="1" spans="1:17" x14ac:dyDescent="0.25">
      <c r="A1" s="30" t="str">
        <f ca="1">Assumptions!A2</f>
        <v>Assumptions</v>
      </c>
    </row>
    <row r="2" spans="1:17" x14ac:dyDescent="0.25">
      <c r="A2" s="30" t="str">
        <f ca="1">RIGHT(CELL("filename",A1),LEN(CELL("filename",A1))-FIND("]",CELL("filename",A1)))</f>
        <v>Scrubbed #5 5-8</v>
      </c>
    </row>
    <row r="3" spans="1:17" x14ac:dyDescent="0.25">
      <c r="A3" s="30"/>
    </row>
    <row r="4" spans="1:17" x14ac:dyDescent="0.25">
      <c r="B4" t="s">
        <v>28</v>
      </c>
      <c r="E4" s="27"/>
      <c r="F4" s="27">
        <v>0</v>
      </c>
      <c r="G4" s="27">
        <v>0.02</v>
      </c>
      <c r="H4" s="27">
        <f t="shared" ref="H4:Q4" si="0">G4</f>
        <v>0.02</v>
      </c>
      <c r="I4" s="27">
        <f t="shared" si="0"/>
        <v>0.02</v>
      </c>
      <c r="J4" s="27">
        <f t="shared" si="0"/>
        <v>0.02</v>
      </c>
      <c r="K4" s="27">
        <f t="shared" si="0"/>
        <v>0.02</v>
      </c>
      <c r="L4" s="27">
        <f t="shared" si="0"/>
        <v>0.02</v>
      </c>
      <c r="M4" s="27">
        <f t="shared" si="0"/>
        <v>0.02</v>
      </c>
      <c r="N4" s="27">
        <f t="shared" si="0"/>
        <v>0.02</v>
      </c>
      <c r="O4" s="27">
        <f t="shared" si="0"/>
        <v>0.02</v>
      </c>
      <c r="P4" s="27">
        <f t="shared" si="0"/>
        <v>0.02</v>
      </c>
      <c r="Q4" s="27">
        <f t="shared" si="0"/>
        <v>0.02</v>
      </c>
    </row>
    <row r="5" spans="1:17" x14ac:dyDescent="0.25">
      <c r="B5" s="26" t="s">
        <v>88</v>
      </c>
      <c r="C5" s="26"/>
      <c r="E5" s="28"/>
      <c r="F5" s="28">
        <f>F4</f>
        <v>0</v>
      </c>
      <c r="G5" s="29">
        <f t="shared" ref="G5:Q5" si="1">G4+F5</f>
        <v>0.02</v>
      </c>
      <c r="H5" s="29">
        <f t="shared" si="1"/>
        <v>0.04</v>
      </c>
      <c r="I5" s="29">
        <f t="shared" si="1"/>
        <v>0.06</v>
      </c>
      <c r="J5" s="29">
        <f t="shared" si="1"/>
        <v>0.08</v>
      </c>
      <c r="K5" s="29">
        <f t="shared" si="1"/>
        <v>0.1</v>
      </c>
      <c r="L5" s="29">
        <f t="shared" si="1"/>
        <v>0.12000000000000001</v>
      </c>
      <c r="M5" s="29">
        <f t="shared" si="1"/>
        <v>0.14000000000000001</v>
      </c>
      <c r="N5" s="29">
        <f t="shared" si="1"/>
        <v>0.16</v>
      </c>
      <c r="O5" s="29">
        <f t="shared" si="1"/>
        <v>0.18</v>
      </c>
      <c r="P5" s="29">
        <f t="shared" si="1"/>
        <v>0.19999999999999998</v>
      </c>
      <c r="Q5" s="29">
        <f t="shared" si="1"/>
        <v>0.21999999999999997</v>
      </c>
    </row>
    <row r="6" spans="1:17" x14ac:dyDescent="0.25">
      <c r="B6" t="s">
        <v>51</v>
      </c>
      <c r="C6" s="26"/>
      <c r="E6" s="27"/>
      <c r="F6" s="27">
        <v>0</v>
      </c>
      <c r="G6" s="27">
        <v>0.04</v>
      </c>
      <c r="H6" s="27">
        <f t="shared" ref="H6:Q6" si="2">G6</f>
        <v>0.04</v>
      </c>
      <c r="I6" s="27">
        <f t="shared" si="2"/>
        <v>0.04</v>
      </c>
      <c r="J6" s="27">
        <f t="shared" si="2"/>
        <v>0.04</v>
      </c>
      <c r="K6" s="27">
        <f t="shared" si="2"/>
        <v>0.04</v>
      </c>
      <c r="L6" s="27">
        <f t="shared" si="2"/>
        <v>0.04</v>
      </c>
      <c r="M6" s="27">
        <f t="shared" si="2"/>
        <v>0.04</v>
      </c>
      <c r="N6" s="27">
        <f t="shared" si="2"/>
        <v>0.04</v>
      </c>
      <c r="O6" s="27">
        <f t="shared" si="2"/>
        <v>0.04</v>
      </c>
      <c r="P6" s="27">
        <f t="shared" si="2"/>
        <v>0.04</v>
      </c>
      <c r="Q6" s="27">
        <f t="shared" si="2"/>
        <v>0.04</v>
      </c>
    </row>
    <row r="7" spans="1:17" x14ac:dyDescent="0.25">
      <c r="B7" s="26" t="s">
        <v>88</v>
      </c>
      <c r="E7" s="28"/>
      <c r="F7" s="28">
        <f>F6</f>
        <v>0</v>
      </c>
      <c r="G7" s="29">
        <f t="shared" ref="G7:Q7" si="3">G6+F7</f>
        <v>0.04</v>
      </c>
      <c r="H7" s="29">
        <f t="shared" si="3"/>
        <v>0.08</v>
      </c>
      <c r="I7" s="29">
        <f t="shared" si="3"/>
        <v>0.12</v>
      </c>
      <c r="J7" s="29">
        <f t="shared" si="3"/>
        <v>0.16</v>
      </c>
      <c r="K7" s="29">
        <f t="shared" si="3"/>
        <v>0.2</v>
      </c>
      <c r="L7" s="29">
        <f t="shared" si="3"/>
        <v>0.24000000000000002</v>
      </c>
      <c r="M7" s="29">
        <f t="shared" si="3"/>
        <v>0.28000000000000003</v>
      </c>
      <c r="N7" s="29">
        <f t="shared" si="3"/>
        <v>0.32</v>
      </c>
      <c r="O7" s="29">
        <f t="shared" si="3"/>
        <v>0.36</v>
      </c>
      <c r="P7" s="29">
        <f t="shared" si="3"/>
        <v>0.39999999999999997</v>
      </c>
      <c r="Q7" s="29">
        <f t="shared" si="3"/>
        <v>0.43999999999999995</v>
      </c>
    </row>
    <row r="8" spans="1:17" x14ac:dyDescent="0.25">
      <c r="A8" s="71"/>
      <c r="B8" t="s">
        <v>50</v>
      </c>
      <c r="E8" s="27"/>
      <c r="F8" s="27">
        <v>0</v>
      </c>
      <c r="G8" s="27">
        <v>0.02</v>
      </c>
      <c r="H8" s="27">
        <f t="shared" ref="H8:Q8" si="4">G8</f>
        <v>0.02</v>
      </c>
      <c r="I8" s="27">
        <f t="shared" si="4"/>
        <v>0.02</v>
      </c>
      <c r="J8" s="27">
        <f t="shared" si="4"/>
        <v>0.02</v>
      </c>
      <c r="K8" s="27">
        <f t="shared" si="4"/>
        <v>0.02</v>
      </c>
      <c r="L8" s="27">
        <f t="shared" si="4"/>
        <v>0.02</v>
      </c>
      <c r="M8" s="27">
        <f t="shared" si="4"/>
        <v>0.02</v>
      </c>
      <c r="N8" s="27">
        <f t="shared" si="4"/>
        <v>0.02</v>
      </c>
      <c r="O8" s="27">
        <f t="shared" si="4"/>
        <v>0.02</v>
      </c>
      <c r="P8" s="27">
        <f t="shared" si="4"/>
        <v>0.02</v>
      </c>
      <c r="Q8" s="27">
        <f t="shared" si="4"/>
        <v>0.02</v>
      </c>
    </row>
    <row r="9" spans="1:17" x14ac:dyDescent="0.25">
      <c r="A9" s="71"/>
      <c r="B9" s="26" t="s">
        <v>88</v>
      </c>
      <c r="E9" s="28"/>
      <c r="F9" s="28">
        <f>F8</f>
        <v>0</v>
      </c>
      <c r="G9" s="29">
        <f t="shared" ref="G9:Q9" si="5">G8+F9</f>
        <v>0.02</v>
      </c>
      <c r="H9" s="29">
        <f t="shared" si="5"/>
        <v>0.04</v>
      </c>
      <c r="I9" s="29">
        <f t="shared" si="5"/>
        <v>0.06</v>
      </c>
      <c r="J9" s="29">
        <f t="shared" si="5"/>
        <v>0.08</v>
      </c>
      <c r="K9" s="29">
        <f t="shared" si="5"/>
        <v>0.1</v>
      </c>
      <c r="L9" s="29">
        <f t="shared" si="5"/>
        <v>0.12000000000000001</v>
      </c>
      <c r="M9" s="29">
        <f t="shared" si="5"/>
        <v>0.14000000000000001</v>
      </c>
      <c r="N9" s="29">
        <f t="shared" si="5"/>
        <v>0.16</v>
      </c>
      <c r="O9" s="29">
        <f t="shared" si="5"/>
        <v>0.18</v>
      </c>
      <c r="P9" s="29">
        <f t="shared" si="5"/>
        <v>0.19999999999999998</v>
      </c>
      <c r="Q9" s="29">
        <f t="shared" si="5"/>
        <v>0.21999999999999997</v>
      </c>
    </row>
    <row r="10" spans="1:17" x14ac:dyDescent="0.25">
      <c r="B10" s="26"/>
      <c r="C10" s="26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5">
      <c r="A11" s="71"/>
      <c r="B11" s="18" t="s">
        <v>140</v>
      </c>
      <c r="E11" s="65">
        <v>0.95</v>
      </c>
      <c r="F11" s="65">
        <v>0.95</v>
      </c>
      <c r="G11" s="64">
        <f t="shared" ref="G11:Q14" si="6">F11</f>
        <v>0.95</v>
      </c>
      <c r="H11" s="64">
        <f t="shared" si="6"/>
        <v>0.95</v>
      </c>
      <c r="I11" s="64">
        <f t="shared" si="6"/>
        <v>0.95</v>
      </c>
      <c r="J11" s="64">
        <f t="shared" si="6"/>
        <v>0.95</v>
      </c>
      <c r="K11" s="64">
        <f t="shared" si="6"/>
        <v>0.95</v>
      </c>
      <c r="L11" s="64">
        <f t="shared" si="6"/>
        <v>0.95</v>
      </c>
      <c r="M11" s="64">
        <f t="shared" si="6"/>
        <v>0.95</v>
      </c>
      <c r="N11" s="64">
        <f t="shared" si="6"/>
        <v>0.95</v>
      </c>
      <c r="O11" s="64">
        <f t="shared" si="6"/>
        <v>0.95</v>
      </c>
      <c r="P11" s="64">
        <f t="shared" si="6"/>
        <v>0.95</v>
      </c>
      <c r="Q11" s="64">
        <f t="shared" si="6"/>
        <v>0.95</v>
      </c>
    </row>
    <row r="12" spans="1:17" x14ac:dyDescent="0.25">
      <c r="A12" s="71"/>
      <c r="B12" t="s">
        <v>141</v>
      </c>
      <c r="E12" s="65">
        <v>0.71</v>
      </c>
      <c r="F12" s="65">
        <v>0.71</v>
      </c>
      <c r="G12" s="64">
        <f t="shared" si="6"/>
        <v>0.71</v>
      </c>
      <c r="H12" s="64">
        <f t="shared" si="6"/>
        <v>0.71</v>
      </c>
      <c r="I12" s="64">
        <f t="shared" si="6"/>
        <v>0.71</v>
      </c>
      <c r="J12" s="64">
        <f t="shared" si="6"/>
        <v>0.71</v>
      </c>
      <c r="K12" s="64">
        <f t="shared" si="6"/>
        <v>0.71</v>
      </c>
      <c r="L12" s="64">
        <f t="shared" si="6"/>
        <v>0.71</v>
      </c>
      <c r="M12" s="64">
        <f t="shared" si="6"/>
        <v>0.71</v>
      </c>
      <c r="N12" s="64">
        <f t="shared" si="6"/>
        <v>0.71</v>
      </c>
      <c r="O12" s="64">
        <f t="shared" si="6"/>
        <v>0.71</v>
      </c>
      <c r="P12" s="64">
        <f t="shared" si="6"/>
        <v>0.71</v>
      </c>
      <c r="Q12" s="64">
        <f t="shared" si="6"/>
        <v>0.71</v>
      </c>
    </row>
    <row r="13" spans="1:17" x14ac:dyDescent="0.25">
      <c r="A13" s="71"/>
      <c r="B13" s="18" t="s">
        <v>142</v>
      </c>
      <c r="E13" s="65">
        <v>0.96</v>
      </c>
      <c r="F13" s="65">
        <v>0.96</v>
      </c>
      <c r="G13" s="64">
        <f t="shared" ref="G13:J14" si="7">F13</f>
        <v>0.96</v>
      </c>
      <c r="H13" s="64">
        <f t="shared" si="7"/>
        <v>0.96</v>
      </c>
      <c r="I13" s="64">
        <f t="shared" si="7"/>
        <v>0.96</v>
      </c>
      <c r="J13" s="64">
        <f t="shared" si="7"/>
        <v>0.96</v>
      </c>
      <c r="K13" s="64">
        <f t="shared" si="6"/>
        <v>0.96</v>
      </c>
      <c r="L13" s="64">
        <f t="shared" si="6"/>
        <v>0.96</v>
      </c>
      <c r="M13" s="64">
        <f t="shared" si="6"/>
        <v>0.96</v>
      </c>
      <c r="N13" s="64">
        <f t="shared" si="6"/>
        <v>0.96</v>
      </c>
      <c r="O13" s="64">
        <f t="shared" si="6"/>
        <v>0.96</v>
      </c>
      <c r="P13" s="64">
        <f t="shared" si="6"/>
        <v>0.96</v>
      </c>
      <c r="Q13" s="64">
        <f t="shared" si="6"/>
        <v>0.96</v>
      </c>
    </row>
    <row r="14" spans="1:17" x14ac:dyDescent="0.25">
      <c r="A14" s="71"/>
      <c r="B14" s="18" t="s">
        <v>143</v>
      </c>
      <c r="E14" s="65">
        <v>0.83</v>
      </c>
      <c r="F14" s="65">
        <v>0.83</v>
      </c>
      <c r="G14" s="64">
        <f t="shared" si="7"/>
        <v>0.83</v>
      </c>
      <c r="H14" s="64">
        <f t="shared" si="7"/>
        <v>0.83</v>
      </c>
      <c r="I14" s="64">
        <f t="shared" si="7"/>
        <v>0.83</v>
      </c>
      <c r="J14" s="64">
        <f t="shared" si="7"/>
        <v>0.83</v>
      </c>
      <c r="K14" s="64">
        <f t="shared" si="6"/>
        <v>0.83</v>
      </c>
      <c r="L14" s="64">
        <f t="shared" si="6"/>
        <v>0.83</v>
      </c>
      <c r="M14" s="64">
        <f t="shared" si="6"/>
        <v>0.83</v>
      </c>
      <c r="N14" s="64">
        <f t="shared" si="6"/>
        <v>0.83</v>
      </c>
      <c r="O14" s="64">
        <f t="shared" si="6"/>
        <v>0.83</v>
      </c>
      <c r="P14" s="64">
        <f t="shared" si="6"/>
        <v>0.83</v>
      </c>
      <c r="Q14" s="64">
        <f t="shared" si="6"/>
        <v>0.83</v>
      </c>
    </row>
    <row r="15" spans="1:17" x14ac:dyDescent="0.25">
      <c r="A15" s="71"/>
      <c r="B15" s="18" t="s">
        <v>144</v>
      </c>
      <c r="E15" s="31">
        <f t="shared" ref="E15:Q15" si="8">E11*E$169</f>
        <v>0</v>
      </c>
      <c r="F15" s="31" t="e">
        <f t="shared" si="8"/>
        <v>#REF!</v>
      </c>
      <c r="G15" s="31" t="e">
        <f t="shared" si="8"/>
        <v>#REF!</v>
      </c>
      <c r="H15" s="31" t="e">
        <f t="shared" si="8"/>
        <v>#REF!</v>
      </c>
      <c r="I15" s="31" t="e">
        <f t="shared" si="8"/>
        <v>#REF!</v>
      </c>
      <c r="J15" s="31" t="e">
        <f t="shared" si="8"/>
        <v>#REF!</v>
      </c>
      <c r="K15" s="31" t="e">
        <f t="shared" si="8"/>
        <v>#REF!</v>
      </c>
      <c r="L15" s="31" t="e">
        <f t="shared" si="8"/>
        <v>#REF!</v>
      </c>
      <c r="M15" s="31" t="e">
        <f t="shared" si="8"/>
        <v>#REF!</v>
      </c>
      <c r="N15" s="31" t="e">
        <f t="shared" si="8"/>
        <v>#REF!</v>
      </c>
      <c r="O15" s="31" t="e">
        <f t="shared" si="8"/>
        <v>#REF!</v>
      </c>
      <c r="P15" s="31" t="e">
        <f t="shared" si="8"/>
        <v>#REF!</v>
      </c>
      <c r="Q15" s="31" t="e">
        <f t="shared" si="8"/>
        <v>#REF!</v>
      </c>
    </row>
    <row r="16" spans="1:17" x14ac:dyDescent="0.25">
      <c r="A16" s="71"/>
      <c r="B16" s="18" t="s">
        <v>145</v>
      </c>
      <c r="E16" s="31">
        <f t="shared" ref="E16:Q16" si="9">+E15*E12</f>
        <v>0</v>
      </c>
      <c r="F16" s="31" t="e">
        <f t="shared" si="9"/>
        <v>#REF!</v>
      </c>
      <c r="G16" s="31" t="e">
        <f t="shared" si="9"/>
        <v>#REF!</v>
      </c>
      <c r="H16" s="31" t="e">
        <f t="shared" si="9"/>
        <v>#REF!</v>
      </c>
      <c r="I16" s="31" t="e">
        <f t="shared" si="9"/>
        <v>#REF!</v>
      </c>
      <c r="J16" s="31" t="e">
        <f t="shared" si="9"/>
        <v>#REF!</v>
      </c>
      <c r="K16" s="31" t="e">
        <f t="shared" si="9"/>
        <v>#REF!</v>
      </c>
      <c r="L16" s="31" t="e">
        <f t="shared" si="9"/>
        <v>#REF!</v>
      </c>
      <c r="M16" s="31" t="e">
        <f t="shared" si="9"/>
        <v>#REF!</v>
      </c>
      <c r="N16" s="31" t="e">
        <f t="shared" si="9"/>
        <v>#REF!</v>
      </c>
      <c r="O16" s="31" t="e">
        <f t="shared" si="9"/>
        <v>#REF!</v>
      </c>
      <c r="P16" s="31" t="e">
        <f t="shared" si="9"/>
        <v>#REF!</v>
      </c>
      <c r="Q16" s="31" t="e">
        <f t="shared" si="9"/>
        <v>#REF!</v>
      </c>
    </row>
    <row r="17" spans="1:28" x14ac:dyDescent="0.25">
      <c r="A17" s="71"/>
      <c r="B17" s="18" t="s">
        <v>146</v>
      </c>
      <c r="E17" s="31">
        <f t="shared" ref="E17:Q17" si="10">E13*E169</f>
        <v>0</v>
      </c>
      <c r="F17" s="31" t="e">
        <f t="shared" si="10"/>
        <v>#REF!</v>
      </c>
      <c r="G17" s="31" t="e">
        <f t="shared" si="10"/>
        <v>#REF!</v>
      </c>
      <c r="H17" s="31" t="e">
        <f t="shared" si="10"/>
        <v>#REF!</v>
      </c>
      <c r="I17" s="31" t="e">
        <f t="shared" si="10"/>
        <v>#REF!</v>
      </c>
      <c r="J17" s="31" t="e">
        <f t="shared" si="10"/>
        <v>#REF!</v>
      </c>
      <c r="K17" s="31" t="e">
        <f t="shared" si="10"/>
        <v>#REF!</v>
      </c>
      <c r="L17" s="31" t="e">
        <f t="shared" si="10"/>
        <v>#REF!</v>
      </c>
      <c r="M17" s="31" t="e">
        <f t="shared" si="10"/>
        <v>#REF!</v>
      </c>
      <c r="N17" s="31" t="e">
        <f t="shared" si="10"/>
        <v>#REF!</v>
      </c>
      <c r="O17" s="31" t="e">
        <f t="shared" si="10"/>
        <v>#REF!</v>
      </c>
      <c r="P17" s="31" t="e">
        <f t="shared" si="10"/>
        <v>#REF!</v>
      </c>
      <c r="Q17" s="31" t="e">
        <f t="shared" si="10"/>
        <v>#REF!</v>
      </c>
    </row>
    <row r="18" spans="1:28" x14ac:dyDescent="0.25">
      <c r="A18" s="71"/>
      <c r="B18" s="18" t="s">
        <v>147</v>
      </c>
      <c r="E18" s="31">
        <f t="shared" ref="E18:Q18" si="11">E14*E169</f>
        <v>0</v>
      </c>
      <c r="F18" s="31" t="e">
        <f t="shared" si="11"/>
        <v>#REF!</v>
      </c>
      <c r="G18" s="31" t="e">
        <f t="shared" si="11"/>
        <v>#REF!</v>
      </c>
      <c r="H18" s="31" t="e">
        <f t="shared" si="11"/>
        <v>#REF!</v>
      </c>
      <c r="I18" s="31" t="e">
        <f t="shared" si="11"/>
        <v>#REF!</v>
      </c>
      <c r="J18" s="31" t="e">
        <f t="shared" si="11"/>
        <v>#REF!</v>
      </c>
      <c r="K18" s="31" t="e">
        <f t="shared" si="11"/>
        <v>#REF!</v>
      </c>
      <c r="L18" s="31" t="e">
        <f t="shared" si="11"/>
        <v>#REF!</v>
      </c>
      <c r="M18" s="31" t="e">
        <f t="shared" si="11"/>
        <v>#REF!</v>
      </c>
      <c r="N18" s="31" t="e">
        <f t="shared" si="11"/>
        <v>#REF!</v>
      </c>
      <c r="O18" s="31" t="e">
        <f t="shared" si="11"/>
        <v>#REF!</v>
      </c>
      <c r="P18" s="31" t="e">
        <f t="shared" si="11"/>
        <v>#REF!</v>
      </c>
      <c r="Q18" s="31" t="e">
        <f t="shared" si="11"/>
        <v>#REF!</v>
      </c>
    </row>
    <row r="19" spans="1:28" x14ac:dyDescent="0.25">
      <c r="B19" s="26"/>
      <c r="C19" s="26"/>
      <c r="E19" s="28"/>
      <c r="F19" s="29"/>
      <c r="G19" s="29"/>
      <c r="H19" s="29"/>
      <c r="I19" s="29"/>
      <c r="J19" s="29"/>
      <c r="K19" s="29"/>
      <c r="L19" s="29"/>
      <c r="M19" s="29"/>
      <c r="N19" s="29"/>
    </row>
    <row r="20" spans="1:28" x14ac:dyDescent="0.25">
      <c r="B20" s="26"/>
      <c r="C20" s="26"/>
      <c r="E20" s="28"/>
      <c r="F20" s="29"/>
      <c r="G20" s="29"/>
      <c r="H20" s="29"/>
      <c r="I20" s="29"/>
      <c r="J20" s="29"/>
      <c r="K20" s="29"/>
      <c r="L20" s="29"/>
      <c r="M20" s="29"/>
      <c r="N20" s="29"/>
    </row>
    <row r="21" spans="1:28" x14ac:dyDescent="0.25">
      <c r="A21" s="4" t="s">
        <v>24</v>
      </c>
      <c r="B21" s="4" t="s">
        <v>25</v>
      </c>
      <c r="C21" s="4"/>
      <c r="D21" s="41"/>
      <c r="E21"/>
      <c r="F21" s="3" t="s">
        <v>0</v>
      </c>
      <c r="G21" s="21" t="s">
        <v>1</v>
      </c>
      <c r="H21" s="22" t="s">
        <v>2</v>
      </c>
      <c r="I21" s="3" t="s">
        <v>3</v>
      </c>
      <c r="J21" s="3" t="s">
        <v>4</v>
      </c>
      <c r="K21" s="4" t="s">
        <v>5</v>
      </c>
      <c r="L21" s="4" t="s">
        <v>61</v>
      </c>
      <c r="M21" s="4" t="s">
        <v>62</v>
      </c>
      <c r="N21" s="4" t="s">
        <v>63</v>
      </c>
      <c r="O21" s="4" t="s">
        <v>64</v>
      </c>
      <c r="P21" s="4" t="s">
        <v>65</v>
      </c>
      <c r="Q21" s="4" t="s">
        <v>66</v>
      </c>
    </row>
    <row r="22" spans="1:28" x14ac:dyDescent="0.25">
      <c r="A22" s="30" t="s">
        <v>148</v>
      </c>
      <c r="B22" s="26"/>
      <c r="E22"/>
      <c r="F22" s="28"/>
      <c r="G22" s="29"/>
      <c r="H22" s="29"/>
      <c r="I22" s="29"/>
      <c r="J22" s="29"/>
      <c r="K22" s="29"/>
    </row>
    <row r="23" spans="1:28" s="2" customFormat="1" x14ac:dyDescent="0.25">
      <c r="A23" s="16"/>
      <c r="B23" s="2" t="s">
        <v>137</v>
      </c>
      <c r="F23" s="6" t="e">
        <f>((Revenue!#REF!*F$11*SUM(F$161:F$162))+(Revenue!#REF!*F$11*SUM(F$163:F$164))-F24)</f>
        <v>#REF!</v>
      </c>
      <c r="G23" s="6" t="e">
        <f>((Revenue!#REF!*G$11*SUM(G$161:G$162))+(Revenue!#REF!*G$11*SUM(G$163:G$164))-G24)</f>
        <v>#REF!</v>
      </c>
      <c r="H23" s="6" t="e">
        <f>((Revenue!#REF!*H$11*SUM(H$161:H$162))+(Revenue!#REF!*H$11*SUM(H$163:H$164))-H24)</f>
        <v>#REF!</v>
      </c>
      <c r="I23" s="6" t="e">
        <f>((Revenue!#REF!*I$11*SUM(I$161:I$162))+(Revenue!#REF!*I$11*SUM(I$163:I$164))-I24)</f>
        <v>#REF!</v>
      </c>
      <c r="J23" s="6" t="e">
        <f>((Revenue!#REF!*J$11*SUM(J$161:J$162))+(Revenue!#REF!*J$11*SUM(J$163:J$164))-J24)</f>
        <v>#REF!</v>
      </c>
      <c r="K23" s="6" t="e">
        <f>((Revenue!#REF!*K$11*SUM(K$161:K$162))+(Revenue!#REF!*K$11*SUM(K$163:K$164))-K24)</f>
        <v>#REF!</v>
      </c>
      <c r="L23" s="6" t="e">
        <f>((Revenue!#REF!*L$11*SUM(L$161:L$162))+(Revenue!#REF!*L$11*SUM(L$163:L$164))-L24)</f>
        <v>#REF!</v>
      </c>
      <c r="M23" s="6" t="e">
        <f>((Revenue!#REF!*M$11*SUM(M$161:M$162))+(Revenue!#REF!*M$11*SUM(M$163:M$164))-M24)</f>
        <v>#REF!</v>
      </c>
      <c r="N23" s="6" t="e">
        <f>((Revenue!#REF!*N$11*SUM(N$161:N$162))+(Revenue!#REF!*N$11*SUM(N$163:N$164))-N24)</f>
        <v>#REF!</v>
      </c>
      <c r="O23" s="6" t="e">
        <f>((Revenue!#REF!*O$11*SUM(O$161:O$162))+(Revenue!#REF!*O$11*SUM(O$163:O$164))-O24)</f>
        <v>#REF!</v>
      </c>
      <c r="P23" s="6" t="e">
        <f>((Revenue!#REF!*P$11*SUM(P$161:P$162))+(Revenue!#REF!*P$11*SUM(P$163:P$164))-P24)</f>
        <v>#REF!</v>
      </c>
      <c r="Q23" s="6" t="e">
        <f>((Revenue!#REF!*Q$11*SUM(Q$161:Q$162))+(Revenue!#REF!*Q$11*SUM(Q$163:Q$164))-Q24)</f>
        <v>#REF!</v>
      </c>
      <c r="R23" s="155"/>
    </row>
    <row r="24" spans="1:28" s="2" customFormat="1" x14ac:dyDescent="0.25">
      <c r="A24" s="16"/>
      <c r="B24" s="2" t="s">
        <v>136</v>
      </c>
      <c r="F24" s="32" t="e">
        <f>((Revenue!#REF!*F$11*SUM(F$161:F$162))+(Revenue!#REF!*F$11*SUM(F$163:F$164)))</f>
        <v>#REF!</v>
      </c>
      <c r="G24" s="32" t="e">
        <f>((Revenue!#REF!*G$11*SUM(G$161:G$162))+(Revenue!#REF!*G$11*SUM(G$163:G$164)))</f>
        <v>#REF!</v>
      </c>
      <c r="H24" s="32" t="e">
        <f>((Revenue!#REF!*H$11*SUM(H$161:H$162))+(Revenue!#REF!*H$11*SUM(H$163:H$164)))</f>
        <v>#REF!</v>
      </c>
      <c r="I24" s="32" t="e">
        <f>((Revenue!#REF!*I$11*SUM(I$161:I$162))+(Revenue!#REF!*I$11*SUM(I$163:I$164)))</f>
        <v>#REF!</v>
      </c>
      <c r="J24" s="32" t="e">
        <f>((Revenue!#REF!*J$11*SUM(J$161:J$162))+(Revenue!#REF!*J$11*SUM(J$163:J$164)))</f>
        <v>#REF!</v>
      </c>
      <c r="K24" s="32" t="e">
        <f>((Revenue!#REF!*K$11*SUM(K$161:K$162))+(Revenue!#REF!*K$11*SUM(K$163:K$164)))</f>
        <v>#REF!</v>
      </c>
      <c r="L24" s="32" t="e">
        <f>((Revenue!#REF!*L$11*SUM(L$161:L$162))+(Revenue!#REF!*L$11*SUM(L$163:L$164)))</f>
        <v>#REF!</v>
      </c>
      <c r="M24" s="32" t="e">
        <f>((Revenue!#REF!*M$11*SUM(M$161:M$162))+(Revenue!#REF!*M$11*SUM(M$163:M$164)))</f>
        <v>#REF!</v>
      </c>
      <c r="N24" s="32" t="e">
        <f>((Revenue!#REF!*N$11*SUM(N$161:N$162))+(Revenue!#REF!*N$11*SUM(N$163:N$164)))</f>
        <v>#REF!</v>
      </c>
      <c r="O24" s="32" t="e">
        <f>((Revenue!#REF!*O$11*SUM(O$161:O$162))+(Revenue!#REF!*O$11*SUM(O$163:O$164)))</f>
        <v>#REF!</v>
      </c>
      <c r="P24" s="32" t="e">
        <f>((Revenue!#REF!*P$11*SUM(P$161:P$162))+(Revenue!#REF!*P$11*SUM(P$163:P$164)))</f>
        <v>#REF!</v>
      </c>
      <c r="Q24" s="32" t="e">
        <f>((Revenue!#REF!*Q$11*SUM(Q$161:Q$162))+(Revenue!#REF!*Q$11*SUM(Q$163:Q$164)))</f>
        <v>#REF!</v>
      </c>
      <c r="R24" s="155"/>
    </row>
    <row r="25" spans="1:28" s="2" customFormat="1" x14ac:dyDescent="0.25">
      <c r="A25" s="16"/>
      <c r="B25" s="16" t="s">
        <v>213</v>
      </c>
      <c r="F25" s="6" t="e">
        <f t="shared" ref="F25:Q25" si="12">SUM(F23:F24)</f>
        <v>#REF!</v>
      </c>
      <c r="G25" s="6" t="e">
        <f t="shared" si="12"/>
        <v>#REF!</v>
      </c>
      <c r="H25" s="6" t="e">
        <f t="shared" si="12"/>
        <v>#REF!</v>
      </c>
      <c r="I25" s="6" t="e">
        <f t="shared" si="12"/>
        <v>#REF!</v>
      </c>
      <c r="J25" s="6" t="e">
        <f t="shared" si="12"/>
        <v>#REF!</v>
      </c>
      <c r="K25" s="6" t="e">
        <f t="shared" si="12"/>
        <v>#REF!</v>
      </c>
      <c r="L25" s="6" t="e">
        <f t="shared" si="12"/>
        <v>#REF!</v>
      </c>
      <c r="M25" s="6" t="e">
        <f t="shared" si="12"/>
        <v>#REF!</v>
      </c>
      <c r="N25" s="6" t="e">
        <f t="shared" si="12"/>
        <v>#REF!</v>
      </c>
      <c r="O25" s="6" t="e">
        <f t="shared" si="12"/>
        <v>#REF!</v>
      </c>
      <c r="P25" s="6" t="e">
        <f t="shared" si="12"/>
        <v>#REF!</v>
      </c>
      <c r="Q25" s="6" t="e">
        <f t="shared" si="12"/>
        <v>#REF!</v>
      </c>
    </row>
    <row r="26" spans="1:28" s="6" customFormat="1" x14ac:dyDescent="0.25">
      <c r="A26" s="121" t="s">
        <v>156</v>
      </c>
      <c r="B26" s="12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6" customFormat="1" x14ac:dyDescent="0.25">
      <c r="A27" s="121"/>
      <c r="B27" s="123" t="s">
        <v>209</v>
      </c>
      <c r="F27" s="6" t="e">
        <f>F$15*Revenue!D17</f>
        <v>#REF!</v>
      </c>
      <c r="G27" s="6" t="e">
        <f>G$15*Revenue!E17</f>
        <v>#REF!</v>
      </c>
      <c r="H27" s="6" t="e">
        <f>H$15*Revenue!F17</f>
        <v>#REF!</v>
      </c>
      <c r="I27" s="6" t="e">
        <f>I$15*Revenue!G17</f>
        <v>#REF!</v>
      </c>
      <c r="J27" s="6" t="e">
        <f>J$15*Revenue!H17</f>
        <v>#REF!</v>
      </c>
      <c r="K27" s="6" t="e">
        <f>K$15*Revenue!I17</f>
        <v>#REF!</v>
      </c>
      <c r="L27" s="6" t="e">
        <f>L$15*Revenue!J17</f>
        <v>#REF!</v>
      </c>
      <c r="M27" s="6" t="e">
        <f>M$15*Revenue!K17</f>
        <v>#REF!</v>
      </c>
      <c r="N27" s="6" t="e">
        <f>N$15*Revenue!L17</f>
        <v>#REF!</v>
      </c>
      <c r="O27" s="6" t="e">
        <f>O$15*Revenue!M17</f>
        <v>#REF!</v>
      </c>
      <c r="P27" s="6" t="e">
        <f>P$15*Revenue!N17</f>
        <v>#REF!</v>
      </c>
      <c r="Q27" s="6" t="e">
        <f>Q$15*Revenue!O17</f>
        <v>#REF!</v>
      </c>
      <c r="R27" s="155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6" customFormat="1" x14ac:dyDescent="0.25">
      <c r="A28" s="121"/>
      <c r="B28" s="6" t="s">
        <v>151</v>
      </c>
      <c r="F28" s="6" t="e">
        <f>F$15*Revenue!D18</f>
        <v>#REF!</v>
      </c>
      <c r="G28" s="6" t="e">
        <f>G$15*Revenue!E18</f>
        <v>#REF!</v>
      </c>
      <c r="H28" s="6" t="e">
        <f>H$15*Revenue!F18</f>
        <v>#REF!</v>
      </c>
      <c r="I28" s="6" t="e">
        <f>I$15*Revenue!G18</f>
        <v>#REF!</v>
      </c>
      <c r="J28" s="6" t="e">
        <f>J$15*Revenue!H18</f>
        <v>#REF!</v>
      </c>
      <c r="K28" s="6" t="e">
        <f>K$15*Revenue!I18</f>
        <v>#REF!</v>
      </c>
      <c r="L28" s="6" t="e">
        <f>L$15*Revenue!J18</f>
        <v>#REF!</v>
      </c>
      <c r="M28" s="6" t="e">
        <f>M$15*Revenue!K18</f>
        <v>#REF!</v>
      </c>
      <c r="N28" s="6" t="e">
        <f>N$15*Revenue!L18</f>
        <v>#REF!</v>
      </c>
      <c r="O28" s="6" t="e">
        <f>O$15*Revenue!M18</f>
        <v>#REF!</v>
      </c>
      <c r="P28" s="6" t="e">
        <f>P$15*Revenue!N18</f>
        <v>#REF!</v>
      </c>
      <c r="Q28" s="6" t="e">
        <f>Q$15*Revenue!O18</f>
        <v>#REF!</v>
      </c>
      <c r="R28" s="155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6" customFormat="1" x14ac:dyDescent="0.25">
      <c r="A29" s="121"/>
      <c r="B29" s="6" t="s">
        <v>152</v>
      </c>
      <c r="F29" s="6" t="e">
        <f>F$15*Revenue!D19</f>
        <v>#REF!</v>
      </c>
      <c r="G29" s="6" t="e">
        <f>G$15*Revenue!E19</f>
        <v>#REF!</v>
      </c>
      <c r="H29" s="6" t="e">
        <f>H$15*Revenue!F19</f>
        <v>#REF!</v>
      </c>
      <c r="I29" s="6" t="e">
        <f>I$15*Revenue!G19</f>
        <v>#REF!</v>
      </c>
      <c r="J29" s="6" t="e">
        <f>J$15*Revenue!H19</f>
        <v>#REF!</v>
      </c>
      <c r="K29" s="6" t="e">
        <f>K$15*Revenue!I19</f>
        <v>#REF!</v>
      </c>
      <c r="L29" s="6" t="e">
        <f>L$15*Revenue!J19</f>
        <v>#REF!</v>
      </c>
      <c r="M29" s="6" t="e">
        <f>M$15*Revenue!K19</f>
        <v>#REF!</v>
      </c>
      <c r="N29" s="6" t="e">
        <f>N$15*Revenue!L19</f>
        <v>#REF!</v>
      </c>
      <c r="O29" s="6" t="e">
        <f>O$15*Revenue!M19</f>
        <v>#REF!</v>
      </c>
      <c r="P29" s="6" t="e">
        <f>P$15*Revenue!N19</f>
        <v>#REF!</v>
      </c>
      <c r="Q29" s="6" t="e">
        <f>Q$15*Revenue!O19</f>
        <v>#REF!</v>
      </c>
      <c r="R29" s="155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6" customFormat="1" x14ac:dyDescent="0.25">
      <c r="A30" s="121"/>
      <c r="B30" s="6" t="s">
        <v>157</v>
      </c>
      <c r="F30" s="6" t="e">
        <f>F$18*Revenue!D20</f>
        <v>#REF!</v>
      </c>
      <c r="G30" s="6" t="e">
        <f>G$18*Revenue!E20</f>
        <v>#REF!</v>
      </c>
      <c r="H30" s="6" t="e">
        <f>H$18*Revenue!F20</f>
        <v>#REF!</v>
      </c>
      <c r="I30" s="6" t="e">
        <f>I$18*Revenue!G20</f>
        <v>#REF!</v>
      </c>
      <c r="J30" s="6" t="e">
        <f>J$18*Revenue!H20</f>
        <v>#REF!</v>
      </c>
      <c r="K30" s="6" t="e">
        <f>K$18*Revenue!I20</f>
        <v>#REF!</v>
      </c>
      <c r="L30" s="6" t="e">
        <f>L$18*Revenue!J20</f>
        <v>#REF!</v>
      </c>
      <c r="M30" s="6" t="e">
        <f>M$18*Revenue!K20</f>
        <v>#REF!</v>
      </c>
      <c r="N30" s="6" t="e">
        <f>N$18*Revenue!L20</f>
        <v>#REF!</v>
      </c>
      <c r="O30" s="6" t="e">
        <f>O$18*Revenue!M20</f>
        <v>#REF!</v>
      </c>
      <c r="P30" s="6" t="e">
        <f>P$18*Revenue!N20</f>
        <v>#REF!</v>
      </c>
      <c r="Q30" s="6" t="e">
        <f>Q$18*Revenue!O20</f>
        <v>#REF!</v>
      </c>
      <c r="R30" s="155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6" customFormat="1" x14ac:dyDescent="0.25">
      <c r="A31" s="121"/>
      <c r="B31" s="31" t="s">
        <v>271</v>
      </c>
      <c r="C31" t="s">
        <v>272</v>
      </c>
      <c r="F31" s="77"/>
      <c r="R31" s="155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6" customFormat="1" x14ac:dyDescent="0.25">
      <c r="A32" s="121"/>
      <c r="B32" s="6" t="s">
        <v>158</v>
      </c>
      <c r="D32" s="90" t="s">
        <v>288</v>
      </c>
      <c r="F32" s="32" t="e">
        <f>F124-F36</f>
        <v>#REF!</v>
      </c>
      <c r="G32" s="32" t="e">
        <f t="shared" ref="G32:Q32" si="13">G124-G36</f>
        <v>#REF!</v>
      </c>
      <c r="H32" s="32" t="e">
        <f t="shared" si="13"/>
        <v>#REF!</v>
      </c>
      <c r="I32" s="32" t="e">
        <f t="shared" si="13"/>
        <v>#REF!</v>
      </c>
      <c r="J32" s="32" t="e">
        <f t="shared" si="13"/>
        <v>#REF!</v>
      </c>
      <c r="K32" s="32" t="e">
        <f t="shared" si="13"/>
        <v>#REF!</v>
      </c>
      <c r="L32" s="32" t="e">
        <f t="shared" si="13"/>
        <v>#REF!</v>
      </c>
      <c r="M32" s="32" t="e">
        <f t="shared" si="13"/>
        <v>#REF!</v>
      </c>
      <c r="N32" s="32" t="e">
        <f t="shared" si="13"/>
        <v>#REF!</v>
      </c>
      <c r="O32" s="32" t="e">
        <f t="shared" si="13"/>
        <v>#REF!</v>
      </c>
      <c r="P32" s="32" t="e">
        <f t="shared" si="13"/>
        <v>#REF!</v>
      </c>
      <c r="Q32" s="32" t="e">
        <f t="shared" si="13"/>
        <v>#REF!</v>
      </c>
      <c r="R32" s="155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6" customFormat="1" x14ac:dyDescent="0.25">
      <c r="A33" s="121"/>
      <c r="B33" s="121" t="s">
        <v>212</v>
      </c>
      <c r="F33" s="6" t="e">
        <f>SUM(F27:F32)</f>
        <v>#REF!</v>
      </c>
      <c r="G33" s="6" t="e">
        <f t="shared" ref="G33:Q33" si="14">SUM(G27:G32)</f>
        <v>#REF!</v>
      </c>
      <c r="H33" s="6" t="e">
        <f t="shared" si="14"/>
        <v>#REF!</v>
      </c>
      <c r="I33" s="6" t="e">
        <f t="shared" si="14"/>
        <v>#REF!</v>
      </c>
      <c r="J33" s="6" t="e">
        <f t="shared" si="14"/>
        <v>#REF!</v>
      </c>
      <c r="K33" s="6" t="e">
        <f t="shared" si="14"/>
        <v>#REF!</v>
      </c>
      <c r="L33" s="6" t="e">
        <f t="shared" si="14"/>
        <v>#REF!</v>
      </c>
      <c r="M33" s="6" t="e">
        <f t="shared" si="14"/>
        <v>#REF!</v>
      </c>
      <c r="N33" s="6" t="e">
        <f t="shared" si="14"/>
        <v>#REF!</v>
      </c>
      <c r="O33" s="6" t="e">
        <f t="shared" si="14"/>
        <v>#REF!</v>
      </c>
      <c r="P33" s="6" t="e">
        <f t="shared" si="14"/>
        <v>#REF!</v>
      </c>
      <c r="Q33" s="6" t="e">
        <f t="shared" si="14"/>
        <v>#REF!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2" customFormat="1" x14ac:dyDescent="0.25">
      <c r="A34" s="16" t="s">
        <v>149</v>
      </c>
      <c r="B34" s="124"/>
      <c r="F34" s="125"/>
      <c r="G34" s="20"/>
      <c r="H34" s="126"/>
      <c r="I34" s="126"/>
      <c r="J34" s="126"/>
      <c r="K34" s="126"/>
      <c r="L34" s="126"/>
      <c r="M34" s="126"/>
      <c r="N34" s="20"/>
      <c r="O34" s="20"/>
      <c r="P34" s="20"/>
      <c r="Q34" s="20"/>
    </row>
    <row r="35" spans="1:28" s="2" customFormat="1" x14ac:dyDescent="0.25">
      <c r="A35" s="16"/>
      <c r="B35" s="127" t="s">
        <v>155</v>
      </c>
      <c r="F35" s="6" t="e">
        <f>Revenue!D12*F15</f>
        <v>#REF!</v>
      </c>
      <c r="G35" s="6" t="e">
        <f>Revenue!E12*G15</f>
        <v>#REF!</v>
      </c>
      <c r="H35" s="6" t="e">
        <f>Revenue!F12*H15</f>
        <v>#REF!</v>
      </c>
      <c r="I35" s="6" t="e">
        <f>Revenue!G12*I15</f>
        <v>#REF!</v>
      </c>
      <c r="J35" s="6" t="e">
        <f>Revenue!H12*J15</f>
        <v>#REF!</v>
      </c>
      <c r="K35" s="6" t="e">
        <f>Revenue!I12*K15</f>
        <v>#REF!</v>
      </c>
      <c r="L35" s="6" t="e">
        <f>Revenue!J12*L15</f>
        <v>#REF!</v>
      </c>
      <c r="M35" s="6" t="e">
        <f>Revenue!K12*M15</f>
        <v>#REF!</v>
      </c>
      <c r="N35" s="6" t="e">
        <f>Revenue!L12*N15</f>
        <v>#REF!</v>
      </c>
      <c r="O35" s="6" t="e">
        <f>Revenue!M12*O15</f>
        <v>#REF!</v>
      </c>
      <c r="P35" s="6" t="e">
        <f>Revenue!N12*P15</f>
        <v>#REF!</v>
      </c>
      <c r="Q35" s="6" t="e">
        <f>Revenue!O12*Q15</f>
        <v>#REF!</v>
      </c>
      <c r="R35" s="155"/>
    </row>
    <row r="36" spans="1:28" s="2" customFormat="1" x14ac:dyDescent="0.25">
      <c r="A36" s="16"/>
      <c r="B36" s="127" t="s">
        <v>203</v>
      </c>
      <c r="D36" s="90">
        <v>72</v>
      </c>
      <c r="F36" s="107" t="e">
        <f t="shared" ref="F36:Q36" si="15">$D36*F$169</f>
        <v>#REF!</v>
      </c>
      <c r="G36" s="107" t="e">
        <f t="shared" si="15"/>
        <v>#REF!</v>
      </c>
      <c r="H36" s="107" t="e">
        <f t="shared" si="15"/>
        <v>#REF!</v>
      </c>
      <c r="I36" s="107" t="e">
        <f t="shared" si="15"/>
        <v>#REF!</v>
      </c>
      <c r="J36" s="107" t="e">
        <f t="shared" si="15"/>
        <v>#REF!</v>
      </c>
      <c r="K36" s="107" t="e">
        <f t="shared" si="15"/>
        <v>#REF!</v>
      </c>
      <c r="L36" s="107" t="e">
        <f t="shared" si="15"/>
        <v>#REF!</v>
      </c>
      <c r="M36" s="107" t="e">
        <f t="shared" si="15"/>
        <v>#REF!</v>
      </c>
      <c r="N36" s="107" t="e">
        <f t="shared" si="15"/>
        <v>#REF!</v>
      </c>
      <c r="O36" s="107" t="e">
        <f t="shared" si="15"/>
        <v>#REF!</v>
      </c>
      <c r="P36" s="107" t="e">
        <f t="shared" si="15"/>
        <v>#REF!</v>
      </c>
      <c r="Q36" s="107" t="e">
        <f t="shared" si="15"/>
        <v>#REF!</v>
      </c>
      <c r="R36" s="155"/>
    </row>
    <row r="37" spans="1:28" s="2" customFormat="1" x14ac:dyDescent="0.25">
      <c r="A37" s="16"/>
      <c r="B37" s="127" t="s">
        <v>205</v>
      </c>
      <c r="F37" s="6" t="e">
        <f>Revenue!#REF!*F15</f>
        <v>#REF!</v>
      </c>
      <c r="G37" s="6" t="e">
        <f>Revenue!#REF!*G15</f>
        <v>#REF!</v>
      </c>
      <c r="H37" s="6" t="e">
        <f>Revenue!#REF!*H15</f>
        <v>#REF!</v>
      </c>
      <c r="I37" s="6" t="e">
        <f>Revenue!#REF!*I15</f>
        <v>#REF!</v>
      </c>
      <c r="J37" s="6" t="e">
        <f>Revenue!#REF!*J15</f>
        <v>#REF!</v>
      </c>
      <c r="K37" s="6" t="e">
        <f>Revenue!#REF!*K15</f>
        <v>#REF!</v>
      </c>
      <c r="L37" s="6" t="e">
        <f>Revenue!#REF!*L15</f>
        <v>#REF!</v>
      </c>
      <c r="M37" s="6" t="e">
        <f>Revenue!#REF!*M15</f>
        <v>#REF!</v>
      </c>
      <c r="N37" s="6" t="e">
        <f>Revenue!#REF!*N15</f>
        <v>#REF!</v>
      </c>
      <c r="O37" s="6" t="e">
        <f>Revenue!#REF!*O15</f>
        <v>#REF!</v>
      </c>
      <c r="P37" s="6" t="e">
        <f>Revenue!#REF!*P15</f>
        <v>#REF!</v>
      </c>
      <c r="Q37" s="6" t="e">
        <f>Revenue!#REF!*Q15</f>
        <v>#REF!</v>
      </c>
      <c r="R37" s="155"/>
    </row>
    <row r="38" spans="1:28" s="2" customFormat="1" x14ac:dyDescent="0.25">
      <c r="A38" s="16"/>
      <c r="B38" s="2" t="s">
        <v>138</v>
      </c>
      <c r="F38" s="6" t="e">
        <f>F15*Revenue!#REF!</f>
        <v>#REF!</v>
      </c>
      <c r="G38" s="6" t="e">
        <f>G15*Revenue!#REF!</f>
        <v>#REF!</v>
      </c>
      <c r="H38" s="6" t="e">
        <f>H15*Revenue!#REF!</f>
        <v>#REF!</v>
      </c>
      <c r="I38" s="6" t="e">
        <f>I15*Revenue!#REF!</f>
        <v>#REF!</v>
      </c>
      <c r="J38" s="6" t="e">
        <f>J15*Revenue!#REF!</f>
        <v>#REF!</v>
      </c>
      <c r="K38" s="6" t="e">
        <f>K15*Revenue!#REF!</f>
        <v>#REF!</v>
      </c>
      <c r="L38" s="6" t="e">
        <f>L15*Revenue!#REF!</f>
        <v>#REF!</v>
      </c>
      <c r="M38" s="6" t="e">
        <f>M15*Revenue!#REF!</f>
        <v>#REF!</v>
      </c>
      <c r="N38" s="6" t="e">
        <f>N15*Revenue!#REF!</f>
        <v>#REF!</v>
      </c>
      <c r="O38" s="6" t="e">
        <f>O15*Revenue!#REF!</f>
        <v>#REF!</v>
      </c>
      <c r="P38" s="6" t="e">
        <f>P15*Revenue!#REF!</f>
        <v>#REF!</v>
      </c>
      <c r="Q38" s="6" t="e">
        <f>Q15*Revenue!#REF!</f>
        <v>#REF!</v>
      </c>
      <c r="R38" s="155"/>
    </row>
    <row r="39" spans="1:28" s="2" customFormat="1" x14ac:dyDescent="0.25">
      <c r="A39" s="16"/>
      <c r="B39" s="2" t="s">
        <v>139</v>
      </c>
      <c r="F39" s="6" t="e">
        <f>((E16+E18)+((E16+E18)-(E15*0.5))*0.5)*Revenue!#REF!</f>
        <v>#REF!</v>
      </c>
      <c r="G39" s="6" t="e">
        <f>((F16+F18)+((F16+F18)-(F15*0.5))*0.5)*Revenue!#REF!</f>
        <v>#REF!</v>
      </c>
      <c r="H39" s="6" t="e">
        <f>((G16+G18)+((G16+G18)-(G15*0.5))*0.5)*Revenue!#REF!</f>
        <v>#REF!</v>
      </c>
      <c r="I39" s="6" t="e">
        <f>((H16+H18)+((H16+H18)-(H15*0.5))*0.5)*Revenue!#REF!</f>
        <v>#REF!</v>
      </c>
      <c r="J39" s="6" t="e">
        <f>((I16+I18)+((I16+I18)-(I15*0.5))*0.5)*Revenue!#REF!</f>
        <v>#REF!</v>
      </c>
      <c r="K39" s="6" t="e">
        <f>((J16+J18)+((J16+J18)-(J15*0.5))*0.5)*Revenue!#REF!</f>
        <v>#REF!</v>
      </c>
      <c r="L39" s="6" t="e">
        <f>((K16+K18)+((K16+K18)-(K15*0.5))*0.5)*Revenue!#REF!</f>
        <v>#REF!</v>
      </c>
      <c r="M39" s="6" t="e">
        <f>((L16+L18)+((L16+L18)-(L15*0.5))*0.5)*Revenue!#REF!</f>
        <v>#REF!</v>
      </c>
      <c r="N39" s="6" t="e">
        <f>((M16+M18)+((M16+M18)-(M15*0.5))*0.5)*Revenue!#REF!</f>
        <v>#REF!</v>
      </c>
      <c r="O39" s="6" t="e">
        <f>((N16+N18)+((N16+N18)-(N15*0.5))*0.5)*Revenue!#REF!</f>
        <v>#REF!</v>
      </c>
      <c r="P39" s="6" t="e">
        <f>((O16+O18)+((O16+O18)-(O15*0.5))*0.5)*Revenue!#REF!</f>
        <v>#REF!</v>
      </c>
      <c r="Q39" s="6" t="e">
        <f>((P16+P18)+((P16+P18)-(P15*0.5))*0.5)*Revenue!#REF!</f>
        <v>#REF!</v>
      </c>
      <c r="R39" s="155"/>
    </row>
    <row r="40" spans="1:28" s="2" customFormat="1" x14ac:dyDescent="0.25">
      <c r="A40" s="16"/>
      <c r="B40" s="2" t="s">
        <v>211</v>
      </c>
      <c r="F40"/>
      <c r="G40"/>
      <c r="H40"/>
      <c r="I40"/>
      <c r="J40"/>
      <c r="K40"/>
      <c r="L40" s="6"/>
      <c r="M40" s="6"/>
      <c r="N40" s="31" t="e">
        <f>MIN(N15*Revenue!L15,0.75*N106)</f>
        <v>#REF!</v>
      </c>
      <c r="O40" s="31" t="e">
        <f>MIN(O15*Revenue!M15,0.75*O106)</f>
        <v>#REF!</v>
      </c>
      <c r="P40" s="31" t="e">
        <f>MIN(P15*Revenue!N15,0.75*P106)</f>
        <v>#REF!</v>
      </c>
      <c r="Q40" s="31" t="e">
        <f>MIN(Q15*Revenue!O15,0.75*Q106)</f>
        <v>#REF!</v>
      </c>
      <c r="R40" s="155"/>
    </row>
    <row r="41" spans="1:28" s="2" customFormat="1" x14ac:dyDescent="0.25">
      <c r="A41" s="16"/>
      <c r="B41" s="127" t="s">
        <v>207</v>
      </c>
      <c r="F41" s="6" t="e">
        <f>F$15*Revenue!D14</f>
        <v>#REF!</v>
      </c>
      <c r="G41" s="6" t="e">
        <f>G$15*Revenue!E14</f>
        <v>#REF!</v>
      </c>
      <c r="H41" s="6" t="e">
        <f>H$15*Revenue!F14</f>
        <v>#REF!</v>
      </c>
      <c r="I41" s="6" t="e">
        <f>I$15*Revenue!G14</f>
        <v>#REF!</v>
      </c>
      <c r="J41" s="6" t="e">
        <f>J$15*Revenue!H14</f>
        <v>#REF!</v>
      </c>
      <c r="K41" s="6" t="e">
        <f>K$15*Revenue!I14</f>
        <v>#REF!</v>
      </c>
      <c r="L41" s="6" t="e">
        <f>L$15*Revenue!J14</f>
        <v>#REF!</v>
      </c>
      <c r="M41" s="6" t="e">
        <f>M$15*Revenue!K14</f>
        <v>#REF!</v>
      </c>
      <c r="N41" s="6" t="e">
        <f>N$15*Revenue!L14</f>
        <v>#REF!</v>
      </c>
      <c r="O41" s="6" t="e">
        <f>O$15*Revenue!M14</f>
        <v>#REF!</v>
      </c>
      <c r="P41" s="6" t="e">
        <f>P$15*Revenue!N14</f>
        <v>#REF!</v>
      </c>
      <c r="Q41" s="6" t="e">
        <f>Q$15*Revenue!O14</f>
        <v>#REF!</v>
      </c>
      <c r="R41" s="155"/>
    </row>
    <row r="42" spans="1:28" s="2" customFormat="1" x14ac:dyDescent="0.25">
      <c r="A42" s="16"/>
      <c r="B42" s="2" t="s">
        <v>206</v>
      </c>
      <c r="C42" s="2" t="s">
        <v>277</v>
      </c>
      <c r="F42" s="129" t="e">
        <f>F65</f>
        <v>#REF!</v>
      </c>
      <c r="G42" s="129" t="e">
        <f t="shared" ref="G42:Q42" si="16">G65</f>
        <v>#REF!</v>
      </c>
      <c r="H42" s="129" t="e">
        <f t="shared" si="16"/>
        <v>#REF!</v>
      </c>
      <c r="I42" s="129" t="e">
        <f t="shared" si="16"/>
        <v>#REF!</v>
      </c>
      <c r="J42" s="129">
        <f t="shared" si="16"/>
        <v>0</v>
      </c>
      <c r="K42" s="129">
        <f t="shared" si="16"/>
        <v>0</v>
      </c>
      <c r="L42" s="129">
        <f t="shared" si="16"/>
        <v>0</v>
      </c>
      <c r="M42" s="129">
        <f t="shared" si="16"/>
        <v>0</v>
      </c>
      <c r="N42" s="135" t="e">
        <f t="shared" si="16"/>
        <v>#REF!</v>
      </c>
      <c r="O42" s="135" t="e">
        <f t="shared" si="16"/>
        <v>#REF!</v>
      </c>
      <c r="P42" s="135" t="e">
        <f t="shared" si="16"/>
        <v>#REF!</v>
      </c>
      <c r="Q42" s="135" t="e">
        <f t="shared" si="16"/>
        <v>#REF!</v>
      </c>
      <c r="R42" s="155"/>
    </row>
    <row r="43" spans="1:28" s="2" customFormat="1" x14ac:dyDescent="0.25">
      <c r="A43" s="16"/>
      <c r="B43" s="2" t="s">
        <v>208</v>
      </c>
      <c r="F43" s="140" t="e">
        <f t="shared" ref="F43:Q43" si="17">SUM(F35:F42)</f>
        <v>#REF!</v>
      </c>
      <c r="G43" s="140" t="e">
        <f t="shared" si="17"/>
        <v>#REF!</v>
      </c>
      <c r="H43" s="140" t="e">
        <f t="shared" si="17"/>
        <v>#REF!</v>
      </c>
      <c r="I43" s="140" t="e">
        <f t="shared" si="17"/>
        <v>#REF!</v>
      </c>
      <c r="J43" s="140" t="e">
        <f t="shared" si="17"/>
        <v>#REF!</v>
      </c>
      <c r="K43" s="140" t="e">
        <f t="shared" si="17"/>
        <v>#REF!</v>
      </c>
      <c r="L43" s="140" t="e">
        <f t="shared" si="17"/>
        <v>#REF!</v>
      </c>
      <c r="M43" s="140" t="e">
        <f t="shared" si="17"/>
        <v>#REF!</v>
      </c>
      <c r="N43" s="140" t="e">
        <f t="shared" si="17"/>
        <v>#REF!</v>
      </c>
      <c r="O43" s="140" t="e">
        <f t="shared" si="17"/>
        <v>#REF!</v>
      </c>
      <c r="P43" s="140" t="e">
        <f t="shared" si="17"/>
        <v>#REF!</v>
      </c>
      <c r="Q43" s="140" t="e">
        <f t="shared" si="17"/>
        <v>#REF!</v>
      </c>
    </row>
    <row r="44" spans="1:28" s="2" customFormat="1" x14ac:dyDescent="0.25">
      <c r="A44" s="30" t="s">
        <v>263</v>
      </c>
      <c r="B44"/>
      <c r="C44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28" s="2" customFormat="1" x14ac:dyDescent="0.25">
      <c r="A45" s="30"/>
      <c r="B45" t="s">
        <v>257</v>
      </c>
      <c r="C45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13"/>
    </row>
    <row r="46" spans="1:28" s="2" customFormat="1" x14ac:dyDescent="0.25">
      <c r="A46" s="30"/>
      <c r="B46" t="s">
        <v>258</v>
      </c>
      <c r="C46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13"/>
    </row>
    <row r="47" spans="1:28" s="2" customFormat="1" x14ac:dyDescent="0.25">
      <c r="A47" s="30"/>
      <c r="B47" t="s">
        <v>259</v>
      </c>
      <c r="C47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13"/>
    </row>
    <row r="48" spans="1:28" s="2" customFormat="1" x14ac:dyDescent="0.25">
      <c r="A48" s="30"/>
      <c r="B48"/>
      <c r="C48" s="83" t="s">
        <v>273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13"/>
    </row>
    <row r="49" spans="1:18" s="2" customFormat="1" x14ac:dyDescent="0.25">
      <c r="A49" s="30"/>
      <c r="B49"/>
      <c r="C49" s="83" t="s">
        <v>274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13"/>
    </row>
    <row r="50" spans="1:18" s="2" customFormat="1" x14ac:dyDescent="0.25">
      <c r="A50" s="30"/>
      <c r="B50" t="s">
        <v>260</v>
      </c>
      <c r="C50"/>
      <c r="F50" s="141">
        <f>SUM(F48:F49)</f>
        <v>0</v>
      </c>
      <c r="G50" s="141">
        <f t="shared" ref="G50:Q50" si="18">SUM(G48:G49)</f>
        <v>0</v>
      </c>
      <c r="H50" s="141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  <c r="R50" s="113"/>
    </row>
    <row r="51" spans="1:18" s="2" customFormat="1" x14ac:dyDescent="0.25">
      <c r="A51" s="30"/>
      <c r="B51" t="s">
        <v>261</v>
      </c>
      <c r="C51" s="83" t="s">
        <v>262</v>
      </c>
      <c r="E51" s="20" t="e">
        <f>#REF!</f>
        <v>#REF!</v>
      </c>
      <c r="F51" s="135" t="e">
        <f>$E51*F$169</f>
        <v>#REF!</v>
      </c>
      <c r="G51" s="135" t="e">
        <f t="shared" ref="G51:Q51" si="19">$E51*G$169</f>
        <v>#REF!</v>
      </c>
      <c r="H51" s="135" t="e">
        <f t="shared" si="19"/>
        <v>#REF!</v>
      </c>
      <c r="I51" s="135" t="e">
        <f t="shared" si="19"/>
        <v>#REF!</v>
      </c>
      <c r="J51" s="135" t="e">
        <f t="shared" si="19"/>
        <v>#REF!</v>
      </c>
      <c r="K51" s="135" t="e">
        <f t="shared" si="19"/>
        <v>#REF!</v>
      </c>
      <c r="L51" s="135" t="e">
        <f t="shared" si="19"/>
        <v>#REF!</v>
      </c>
      <c r="M51" s="135" t="e">
        <f t="shared" si="19"/>
        <v>#REF!</v>
      </c>
      <c r="N51" s="135" t="e">
        <f t="shared" si="19"/>
        <v>#REF!</v>
      </c>
      <c r="O51" s="135" t="e">
        <f t="shared" si="19"/>
        <v>#REF!</v>
      </c>
      <c r="P51" s="135" t="e">
        <f t="shared" si="19"/>
        <v>#REF!</v>
      </c>
      <c r="Q51" s="135" t="e">
        <f t="shared" si="19"/>
        <v>#REF!</v>
      </c>
      <c r="R51" s="113"/>
    </row>
    <row r="52" spans="1:18" s="2" customFormat="1" x14ac:dyDescent="0.25">
      <c r="A52" s="30"/>
      <c r="B52" t="s">
        <v>275</v>
      </c>
      <c r="C52"/>
      <c r="F52" s="130" t="e">
        <f>F51+F50+SUM(F45:F47)</f>
        <v>#REF!</v>
      </c>
      <c r="G52" s="130" t="e">
        <f t="shared" ref="G52:Q52" si="20">G51+G50+SUM(G45:G47)</f>
        <v>#REF!</v>
      </c>
      <c r="H52" s="130" t="e">
        <f t="shared" si="20"/>
        <v>#REF!</v>
      </c>
      <c r="I52" s="130" t="e">
        <f t="shared" si="20"/>
        <v>#REF!</v>
      </c>
      <c r="J52" s="130" t="e">
        <f t="shared" si="20"/>
        <v>#REF!</v>
      </c>
      <c r="K52" s="130" t="e">
        <f t="shared" si="20"/>
        <v>#REF!</v>
      </c>
      <c r="L52" s="130" t="e">
        <f t="shared" si="20"/>
        <v>#REF!</v>
      </c>
      <c r="M52" s="130" t="e">
        <f t="shared" si="20"/>
        <v>#REF!</v>
      </c>
      <c r="N52" s="130" t="e">
        <f t="shared" si="20"/>
        <v>#REF!</v>
      </c>
      <c r="O52" s="130" t="e">
        <f t="shared" si="20"/>
        <v>#REF!</v>
      </c>
      <c r="P52" s="130" t="e">
        <f t="shared" si="20"/>
        <v>#REF!</v>
      </c>
      <c r="Q52" s="130" t="e">
        <f t="shared" si="20"/>
        <v>#REF!</v>
      </c>
      <c r="R52" s="113"/>
    </row>
    <row r="53" spans="1:18" s="2" customFormat="1" ht="15.75" thickBot="1" x14ac:dyDescent="0.3">
      <c r="A53" s="16" t="s">
        <v>210</v>
      </c>
      <c r="F53" s="131" t="e">
        <f>F33+F43+F25+F52</f>
        <v>#REF!</v>
      </c>
      <c r="G53" s="131" t="e">
        <f t="shared" ref="G53:Q53" si="21">G33+G43+G25+G52</f>
        <v>#REF!</v>
      </c>
      <c r="H53" s="131" t="e">
        <f t="shared" si="21"/>
        <v>#REF!</v>
      </c>
      <c r="I53" s="131" t="e">
        <f t="shared" si="21"/>
        <v>#REF!</v>
      </c>
      <c r="J53" s="131" t="e">
        <f t="shared" si="21"/>
        <v>#REF!</v>
      </c>
      <c r="K53" s="131" t="e">
        <f t="shared" si="21"/>
        <v>#REF!</v>
      </c>
      <c r="L53" s="131" t="e">
        <f t="shared" si="21"/>
        <v>#REF!</v>
      </c>
      <c r="M53" s="131" t="e">
        <f t="shared" si="21"/>
        <v>#REF!</v>
      </c>
      <c r="N53" s="131" t="e">
        <f t="shared" si="21"/>
        <v>#REF!</v>
      </c>
      <c r="O53" s="131" t="e">
        <f t="shared" si="21"/>
        <v>#REF!</v>
      </c>
      <c r="P53" s="131" t="e">
        <f t="shared" si="21"/>
        <v>#REF!</v>
      </c>
      <c r="Q53" s="131" t="e">
        <f t="shared" si="21"/>
        <v>#REF!</v>
      </c>
    </row>
    <row r="54" spans="1:18" ht="15.75" thickTop="1" x14ac:dyDescent="0.25">
      <c r="A54"/>
      <c r="E54"/>
      <c r="F54" s="38"/>
      <c r="G54" s="39"/>
      <c r="H54" s="40"/>
      <c r="I54" s="38"/>
      <c r="J54" s="38"/>
      <c r="K54" s="41"/>
      <c r="L54" s="41"/>
      <c r="M54" s="41"/>
      <c r="N54" s="147"/>
      <c r="O54" s="147"/>
      <c r="P54" s="147"/>
      <c r="Q54" s="147"/>
    </row>
    <row r="55" spans="1:18" x14ac:dyDescent="0.25">
      <c r="A55" s="4" t="s">
        <v>24</v>
      </c>
      <c r="B55" s="4" t="s">
        <v>25</v>
      </c>
      <c r="E55"/>
      <c r="F55" s="3" t="s">
        <v>0</v>
      </c>
      <c r="G55" s="21" t="s">
        <v>1</v>
      </c>
      <c r="H55" s="22" t="s">
        <v>2</v>
      </c>
      <c r="I55" s="3" t="s">
        <v>3</v>
      </c>
      <c r="J55" s="3" t="s">
        <v>4</v>
      </c>
      <c r="K55" s="4" t="s">
        <v>5</v>
      </c>
      <c r="L55" s="4" t="s">
        <v>61</v>
      </c>
      <c r="M55" s="4" t="s">
        <v>62</v>
      </c>
      <c r="N55" s="4" t="s">
        <v>63</v>
      </c>
      <c r="O55" s="4" t="s">
        <v>64</v>
      </c>
      <c r="P55" s="4" t="s">
        <v>65</v>
      </c>
      <c r="Q55" s="4" t="s">
        <v>66</v>
      </c>
    </row>
    <row r="56" spans="1:18" outlineLevel="1" x14ac:dyDescent="0.25">
      <c r="A56" s="18">
        <v>1110</v>
      </c>
      <c r="B56" s="18" t="s">
        <v>19</v>
      </c>
      <c r="C56" s="18"/>
      <c r="D56" s="18"/>
      <c r="E56"/>
      <c r="F56" s="6">
        <f t="shared" ref="F56:Q56" si="22">SUMIFS(F$316:F$440,$A$316:$A$440,$A56)</f>
        <v>0</v>
      </c>
      <c r="G56" s="6">
        <f t="shared" si="22"/>
        <v>0</v>
      </c>
      <c r="H56" s="6">
        <f t="shared" si="22"/>
        <v>0</v>
      </c>
      <c r="I56" s="6">
        <f t="shared" si="22"/>
        <v>0</v>
      </c>
      <c r="J56" s="6">
        <f t="shared" si="22"/>
        <v>0</v>
      </c>
      <c r="K56" s="6">
        <f t="shared" si="22"/>
        <v>0</v>
      </c>
      <c r="L56" s="6">
        <f t="shared" si="22"/>
        <v>0</v>
      </c>
      <c r="M56" s="6">
        <f t="shared" si="22"/>
        <v>0</v>
      </c>
      <c r="N56" s="6">
        <f t="shared" si="22"/>
        <v>237120.00000000003</v>
      </c>
      <c r="O56" s="6">
        <f t="shared" si="22"/>
        <v>361919.99999999994</v>
      </c>
      <c r="P56" s="6">
        <f t="shared" si="22"/>
        <v>490880</v>
      </c>
      <c r="Q56" s="6">
        <f t="shared" si="22"/>
        <v>624000</v>
      </c>
    </row>
    <row r="57" spans="1:18" outlineLevel="1" x14ac:dyDescent="0.25">
      <c r="A57" s="18">
        <v>1175</v>
      </c>
      <c r="B57" s="18" t="s">
        <v>20</v>
      </c>
      <c r="C57" s="18"/>
      <c r="D57" s="18"/>
      <c r="E57"/>
      <c r="F57" s="31">
        <v>0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31" t="e">
        <f>#REF!</f>
        <v>#REF!</v>
      </c>
      <c r="K57" s="31" t="e">
        <f>#REF!</f>
        <v>#REF!</v>
      </c>
      <c r="L57" s="31" t="e">
        <f>#REF!</f>
        <v>#REF!</v>
      </c>
      <c r="M57" s="31" t="e">
        <f>#REF!</f>
        <v>#REF!</v>
      </c>
      <c r="N57" s="31" t="e">
        <f>#REF!</f>
        <v>#REF!</v>
      </c>
      <c r="O57" s="31" t="e">
        <f>#REF!</f>
        <v>#REF!</v>
      </c>
      <c r="P57" s="31" t="e">
        <f>#REF!</f>
        <v>#REF!</v>
      </c>
      <c r="Q57" s="31" t="e">
        <f>#REF!</f>
        <v>#REF!</v>
      </c>
    </row>
    <row r="58" spans="1:18" outlineLevel="1" x14ac:dyDescent="0.25">
      <c r="A58" s="18">
        <v>1300</v>
      </c>
      <c r="B58" s="18" t="s">
        <v>254</v>
      </c>
      <c r="C58" s="18"/>
      <c r="D58" s="18"/>
      <c r="E58"/>
      <c r="F58" s="6" t="e">
        <f t="shared" ref="F58:Q59" si="23">SUMIFS(F$316:F$440,$A$316:$A$440,$A58)</f>
        <v>#REF!</v>
      </c>
      <c r="G58" s="6" t="e">
        <f t="shared" si="23"/>
        <v>#REF!</v>
      </c>
      <c r="H58" s="6" t="e">
        <f t="shared" si="23"/>
        <v>#REF!</v>
      </c>
      <c r="I58" s="6" t="e">
        <f t="shared" si="23"/>
        <v>#REF!</v>
      </c>
      <c r="J58" s="6" t="e">
        <f t="shared" si="23"/>
        <v>#REF!</v>
      </c>
      <c r="K58" s="6" t="e">
        <f t="shared" si="23"/>
        <v>#REF!</v>
      </c>
      <c r="L58" s="6" t="e">
        <f t="shared" si="23"/>
        <v>#REF!</v>
      </c>
      <c r="M58" s="6" t="e">
        <f t="shared" si="23"/>
        <v>#REF!</v>
      </c>
      <c r="N58" s="6" t="e">
        <f t="shared" si="23"/>
        <v>#REF!</v>
      </c>
      <c r="O58" s="6" t="e">
        <f t="shared" si="23"/>
        <v>#REF!</v>
      </c>
      <c r="P58" s="6" t="e">
        <f t="shared" si="23"/>
        <v>#REF!</v>
      </c>
      <c r="Q58" s="6" t="e">
        <f t="shared" si="23"/>
        <v>#REF!</v>
      </c>
    </row>
    <row r="59" spans="1:18" outlineLevel="1" x14ac:dyDescent="0.25">
      <c r="A59" s="18">
        <v>2100</v>
      </c>
      <c r="B59" s="18" t="s">
        <v>21</v>
      </c>
      <c r="C59" s="18"/>
      <c r="D59" s="18"/>
      <c r="E59"/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32">
        <f t="shared" si="23"/>
        <v>0</v>
      </c>
      <c r="O59" s="32">
        <f t="shared" si="23"/>
        <v>30159.999999999996</v>
      </c>
      <c r="P59" s="32">
        <f t="shared" si="23"/>
        <v>61360</v>
      </c>
      <c r="Q59" s="32">
        <f t="shared" si="23"/>
        <v>93600</v>
      </c>
    </row>
    <row r="60" spans="1:18" x14ac:dyDescent="0.25">
      <c r="A60" s="18">
        <v>100</v>
      </c>
      <c r="B60" s="18" t="s">
        <v>134</v>
      </c>
      <c r="C60" s="18"/>
      <c r="D60" s="18"/>
      <c r="E60"/>
      <c r="F60" s="31" t="e">
        <f>SUM(F56:F59)</f>
        <v>#REF!</v>
      </c>
      <c r="G60" s="31" t="e">
        <f t="shared" ref="G60:Q60" si="24">SUM(G56:G59)</f>
        <v>#REF!</v>
      </c>
      <c r="H60" s="31" t="e">
        <f t="shared" si="24"/>
        <v>#REF!</v>
      </c>
      <c r="I60" s="31" t="e">
        <f t="shared" si="24"/>
        <v>#REF!</v>
      </c>
      <c r="J60" s="31" t="e">
        <f t="shared" si="24"/>
        <v>#REF!</v>
      </c>
      <c r="K60" s="31" t="e">
        <f t="shared" si="24"/>
        <v>#REF!</v>
      </c>
      <c r="L60" s="31" t="e">
        <f t="shared" si="24"/>
        <v>#REF!</v>
      </c>
      <c r="M60" s="31" t="e">
        <f t="shared" si="24"/>
        <v>#REF!</v>
      </c>
      <c r="N60" s="31" t="e">
        <f t="shared" si="24"/>
        <v>#REF!</v>
      </c>
      <c r="O60" s="31" t="e">
        <f t="shared" si="24"/>
        <v>#REF!</v>
      </c>
      <c r="P60" s="31" t="e">
        <f t="shared" si="24"/>
        <v>#REF!</v>
      </c>
      <c r="Q60" s="31" t="e">
        <f t="shared" si="24"/>
        <v>#REF!</v>
      </c>
    </row>
    <row r="61" spans="1:18" outlineLevel="1" x14ac:dyDescent="0.25">
      <c r="A61" s="18"/>
      <c r="B61" s="18"/>
      <c r="C61" s="18"/>
      <c r="D61" s="18"/>
      <c r="E6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8" outlineLevel="1" x14ac:dyDescent="0.25">
      <c r="A62" s="18">
        <v>2200</v>
      </c>
      <c r="B62" s="18" t="s">
        <v>22</v>
      </c>
      <c r="C62" s="18"/>
      <c r="D62" s="18"/>
      <c r="E62"/>
      <c r="F62" s="6">
        <f t="shared" ref="F62:Q65" si="25">SUMIFS(F$316:F$440,$A$316:$A$440,$A62)</f>
        <v>0</v>
      </c>
      <c r="G62" s="6">
        <f t="shared" si="25"/>
        <v>0</v>
      </c>
      <c r="H62" s="6">
        <f t="shared" si="25"/>
        <v>0</v>
      </c>
      <c r="I62" s="6">
        <f t="shared" si="25"/>
        <v>0</v>
      </c>
      <c r="J62" s="6">
        <f t="shared" si="25"/>
        <v>0</v>
      </c>
      <c r="K62" s="6">
        <f t="shared" si="25"/>
        <v>0</v>
      </c>
      <c r="L62" s="6">
        <f t="shared" si="25"/>
        <v>0</v>
      </c>
      <c r="M62" s="6">
        <f t="shared" si="25"/>
        <v>0</v>
      </c>
      <c r="N62" s="6">
        <f t="shared" si="25"/>
        <v>26972.400000000001</v>
      </c>
      <c r="O62" s="6">
        <f t="shared" si="25"/>
        <v>34307</v>
      </c>
      <c r="P62" s="6">
        <f t="shared" si="25"/>
        <v>34898.5</v>
      </c>
      <c r="Q62" s="6">
        <f t="shared" si="25"/>
        <v>49686</v>
      </c>
    </row>
    <row r="63" spans="1:18" outlineLevel="1" x14ac:dyDescent="0.25">
      <c r="A63" s="18">
        <v>2300</v>
      </c>
      <c r="B63" s="18" t="s">
        <v>253</v>
      </c>
      <c r="C63" s="18"/>
      <c r="D63" s="18"/>
      <c r="E63"/>
      <c r="F63" s="6" t="e">
        <f t="shared" si="25"/>
        <v>#REF!</v>
      </c>
      <c r="G63" s="6" t="e">
        <f t="shared" si="25"/>
        <v>#REF!</v>
      </c>
      <c r="H63" s="6" t="e">
        <f t="shared" si="25"/>
        <v>#REF!</v>
      </c>
      <c r="I63" s="6" t="e">
        <f t="shared" si="25"/>
        <v>#REF!</v>
      </c>
      <c r="J63" s="6" t="e">
        <f t="shared" si="25"/>
        <v>#REF!</v>
      </c>
      <c r="K63" s="6" t="e">
        <f t="shared" si="25"/>
        <v>#REF!</v>
      </c>
      <c r="L63" s="6" t="e">
        <f t="shared" si="25"/>
        <v>#REF!</v>
      </c>
      <c r="M63" s="6" t="e">
        <f t="shared" si="25"/>
        <v>#REF!</v>
      </c>
      <c r="N63" s="6" t="e">
        <f t="shared" si="25"/>
        <v>#REF!</v>
      </c>
      <c r="O63" s="6" t="e">
        <f t="shared" si="25"/>
        <v>#REF!</v>
      </c>
      <c r="P63" s="6" t="e">
        <f t="shared" si="25"/>
        <v>#REF!</v>
      </c>
      <c r="Q63" s="6" t="e">
        <f t="shared" si="25"/>
        <v>#REF!</v>
      </c>
    </row>
    <row r="64" spans="1:18" outlineLevel="1" x14ac:dyDescent="0.25">
      <c r="A64" s="18">
        <v>2400</v>
      </c>
      <c r="B64" s="18" t="s">
        <v>18</v>
      </c>
      <c r="C64" s="18"/>
      <c r="D64" s="18"/>
      <c r="E64"/>
      <c r="F64" s="6" t="e">
        <f t="shared" si="25"/>
        <v>#REF!</v>
      </c>
      <c r="G64" s="6" t="e">
        <f t="shared" si="25"/>
        <v>#REF!</v>
      </c>
      <c r="H64" s="6" t="e">
        <f t="shared" si="25"/>
        <v>#REF!</v>
      </c>
      <c r="I64" s="6" t="e">
        <f t="shared" si="25"/>
        <v>#REF!</v>
      </c>
      <c r="J64" s="6" t="e">
        <f t="shared" si="25"/>
        <v>#REF!</v>
      </c>
      <c r="K64" s="6" t="e">
        <f t="shared" si="25"/>
        <v>#REF!</v>
      </c>
      <c r="L64" s="6" t="e">
        <f t="shared" si="25"/>
        <v>#REF!</v>
      </c>
      <c r="M64" s="6" t="e">
        <f t="shared" si="25"/>
        <v>#REF!</v>
      </c>
      <c r="N64" s="6" t="e">
        <f t="shared" si="25"/>
        <v>#REF!</v>
      </c>
      <c r="O64" s="6" t="e">
        <f t="shared" si="25"/>
        <v>#REF!</v>
      </c>
      <c r="P64" s="6" t="e">
        <f t="shared" si="25"/>
        <v>#REF!</v>
      </c>
      <c r="Q64" s="6" t="e">
        <f t="shared" si="25"/>
        <v>#REF!</v>
      </c>
    </row>
    <row r="65" spans="1:17" outlineLevel="1" x14ac:dyDescent="0.25">
      <c r="A65" s="18">
        <v>2900</v>
      </c>
      <c r="B65" s="18" t="s">
        <v>23</v>
      </c>
      <c r="C65" s="18"/>
      <c r="D65" s="18"/>
      <c r="E65"/>
      <c r="F65" s="32" t="e">
        <f t="shared" si="25"/>
        <v>#REF!</v>
      </c>
      <c r="G65" s="32" t="e">
        <f t="shared" si="25"/>
        <v>#REF!</v>
      </c>
      <c r="H65" s="32" t="e">
        <f t="shared" si="25"/>
        <v>#REF!</v>
      </c>
      <c r="I65" s="32" t="e">
        <f t="shared" si="25"/>
        <v>#REF!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 t="e">
        <f t="shared" si="25"/>
        <v>#REF!</v>
      </c>
      <c r="O65" s="32" t="e">
        <f t="shared" si="25"/>
        <v>#REF!</v>
      </c>
      <c r="P65" s="32" t="e">
        <f t="shared" si="25"/>
        <v>#REF!</v>
      </c>
      <c r="Q65" s="32" t="e">
        <f t="shared" si="25"/>
        <v>#REF!</v>
      </c>
    </row>
    <row r="66" spans="1:17" x14ac:dyDescent="0.25">
      <c r="A66" s="18">
        <v>150</v>
      </c>
      <c r="B66" s="18" t="s">
        <v>135</v>
      </c>
      <c r="C66" s="18"/>
      <c r="D66" s="18"/>
      <c r="E66"/>
      <c r="F66" s="31" t="e">
        <f t="shared" ref="F66:Q66" si="26">SUM(F62:F65)</f>
        <v>#REF!</v>
      </c>
      <c r="G66" s="31" t="e">
        <f t="shared" si="26"/>
        <v>#REF!</v>
      </c>
      <c r="H66" s="31" t="e">
        <f t="shared" si="26"/>
        <v>#REF!</v>
      </c>
      <c r="I66" s="31" t="e">
        <f t="shared" si="26"/>
        <v>#REF!</v>
      </c>
      <c r="J66" s="31" t="e">
        <f t="shared" si="26"/>
        <v>#REF!</v>
      </c>
      <c r="K66" s="31" t="e">
        <f t="shared" si="26"/>
        <v>#REF!</v>
      </c>
      <c r="L66" s="31" t="e">
        <f t="shared" si="26"/>
        <v>#REF!</v>
      </c>
      <c r="M66" s="31" t="e">
        <f t="shared" si="26"/>
        <v>#REF!</v>
      </c>
      <c r="N66" s="31" t="e">
        <f t="shared" si="26"/>
        <v>#REF!</v>
      </c>
      <c r="O66" s="31" t="e">
        <f t="shared" si="26"/>
        <v>#REF!</v>
      </c>
      <c r="P66" s="31" t="e">
        <f t="shared" si="26"/>
        <v>#REF!</v>
      </c>
      <c r="Q66" s="31" t="e">
        <f t="shared" si="26"/>
        <v>#REF!</v>
      </c>
    </row>
    <row r="67" spans="1:17" outlineLevel="1" x14ac:dyDescent="0.25">
      <c r="A67"/>
      <c r="B67" s="18"/>
      <c r="C67" s="33"/>
      <c r="D67" s="33"/>
      <c r="E67"/>
      <c r="F67" s="31" t="e">
        <f t="shared" ref="F67:Q67" si="27">IF(F66+F60=F441,0,FALSE)</f>
        <v>#REF!</v>
      </c>
      <c r="G67" s="31" t="e">
        <f t="shared" si="27"/>
        <v>#REF!</v>
      </c>
      <c r="H67" s="31" t="e">
        <f t="shared" si="27"/>
        <v>#REF!</v>
      </c>
      <c r="I67" s="31" t="e">
        <f t="shared" si="27"/>
        <v>#REF!</v>
      </c>
      <c r="J67" s="31" t="e">
        <f t="shared" si="27"/>
        <v>#REF!</v>
      </c>
      <c r="K67" s="31" t="e">
        <f t="shared" si="27"/>
        <v>#REF!</v>
      </c>
      <c r="L67" s="31" t="e">
        <f t="shared" si="27"/>
        <v>#REF!</v>
      </c>
      <c r="M67" s="31" t="e">
        <f t="shared" si="27"/>
        <v>#REF!</v>
      </c>
      <c r="N67" s="31" t="e">
        <f t="shared" si="27"/>
        <v>#REF!</v>
      </c>
      <c r="O67" s="31" t="e">
        <f t="shared" si="27"/>
        <v>#REF!</v>
      </c>
      <c r="P67" s="31" t="e">
        <f t="shared" si="27"/>
        <v>#REF!</v>
      </c>
      <c r="Q67" s="31" t="e">
        <f t="shared" si="27"/>
        <v>#REF!</v>
      </c>
    </row>
    <row r="68" spans="1:17" outlineLevel="1" x14ac:dyDescent="0.25">
      <c r="A68" s="18">
        <v>3111</v>
      </c>
      <c r="B68" s="18" t="s">
        <v>29</v>
      </c>
      <c r="C68" s="34">
        <v>8.2500000000000004E-2</v>
      </c>
      <c r="D68" s="34"/>
      <c r="E68"/>
      <c r="F68" s="31" t="e">
        <f>F60*$C68</f>
        <v>#REF!</v>
      </c>
      <c r="G68" s="31" t="e">
        <f t="shared" ref="G68:Q68" si="28">G60*$C68</f>
        <v>#REF!</v>
      </c>
      <c r="H68" s="31" t="e">
        <f t="shared" si="28"/>
        <v>#REF!</v>
      </c>
      <c r="I68" s="31" t="e">
        <f t="shared" si="28"/>
        <v>#REF!</v>
      </c>
      <c r="J68" s="31" t="e">
        <f t="shared" si="28"/>
        <v>#REF!</v>
      </c>
      <c r="K68" s="31" t="e">
        <f t="shared" si="28"/>
        <v>#REF!</v>
      </c>
      <c r="L68" s="31" t="e">
        <f t="shared" si="28"/>
        <v>#REF!</v>
      </c>
      <c r="M68" s="31" t="e">
        <f t="shared" si="28"/>
        <v>#REF!</v>
      </c>
      <c r="N68" s="31" t="e">
        <f t="shared" si="28"/>
        <v>#REF!</v>
      </c>
      <c r="O68" s="31" t="e">
        <f t="shared" si="28"/>
        <v>#REF!</v>
      </c>
      <c r="P68" s="31" t="e">
        <f t="shared" si="28"/>
        <v>#REF!</v>
      </c>
      <c r="Q68" s="31" t="e">
        <f t="shared" si="28"/>
        <v>#REF!</v>
      </c>
    </row>
    <row r="69" spans="1:17" outlineLevel="1" x14ac:dyDescent="0.25">
      <c r="A69" s="18">
        <v>3311</v>
      </c>
      <c r="B69" s="18" t="s">
        <v>35</v>
      </c>
      <c r="C69" s="34">
        <v>6.2E-2</v>
      </c>
      <c r="D69" s="34"/>
      <c r="E69"/>
      <c r="F69" s="31" t="e">
        <f>F$66*$C69</f>
        <v>#REF!</v>
      </c>
      <c r="G69" s="31" t="e">
        <f t="shared" ref="G69:Q69" si="29">G$66*$C69</f>
        <v>#REF!</v>
      </c>
      <c r="H69" s="31" t="e">
        <f t="shared" si="29"/>
        <v>#REF!</v>
      </c>
      <c r="I69" s="31" t="e">
        <f t="shared" si="29"/>
        <v>#REF!</v>
      </c>
      <c r="J69" s="31" t="e">
        <f t="shared" si="29"/>
        <v>#REF!</v>
      </c>
      <c r="K69" s="31" t="e">
        <f t="shared" si="29"/>
        <v>#REF!</v>
      </c>
      <c r="L69" s="31" t="e">
        <f t="shared" si="29"/>
        <v>#REF!</v>
      </c>
      <c r="M69" s="31" t="e">
        <f t="shared" si="29"/>
        <v>#REF!</v>
      </c>
      <c r="N69" s="31" t="e">
        <f t="shared" si="29"/>
        <v>#REF!</v>
      </c>
      <c r="O69" s="31" t="e">
        <f t="shared" si="29"/>
        <v>#REF!</v>
      </c>
      <c r="P69" s="31" t="e">
        <f t="shared" si="29"/>
        <v>#REF!</v>
      </c>
      <c r="Q69" s="31" t="e">
        <f t="shared" si="29"/>
        <v>#REF!</v>
      </c>
    </row>
    <row r="70" spans="1:17" outlineLevel="1" x14ac:dyDescent="0.25">
      <c r="A70" s="18">
        <v>3331</v>
      </c>
      <c r="B70" s="18" t="s">
        <v>30</v>
      </c>
      <c r="C70" s="34">
        <v>1.4500000000000001E-2</v>
      </c>
      <c r="D70" s="34"/>
      <c r="E70"/>
      <c r="F70" s="31" t="e">
        <f>(F$60+F$66)*$C70</f>
        <v>#REF!</v>
      </c>
      <c r="G70" s="31" t="e">
        <f t="shared" ref="G70:Q70" si="30">(G$60+G$66)*$C70</f>
        <v>#REF!</v>
      </c>
      <c r="H70" s="31" t="e">
        <f t="shared" si="30"/>
        <v>#REF!</v>
      </c>
      <c r="I70" s="31" t="e">
        <f t="shared" si="30"/>
        <v>#REF!</v>
      </c>
      <c r="J70" s="31" t="e">
        <f t="shared" si="30"/>
        <v>#REF!</v>
      </c>
      <c r="K70" s="31" t="e">
        <f t="shared" si="30"/>
        <v>#REF!</v>
      </c>
      <c r="L70" s="31" t="e">
        <f t="shared" si="30"/>
        <v>#REF!</v>
      </c>
      <c r="M70" s="31" t="e">
        <f t="shared" si="30"/>
        <v>#REF!</v>
      </c>
      <c r="N70" s="31" t="e">
        <f t="shared" si="30"/>
        <v>#REF!</v>
      </c>
      <c r="O70" s="31" t="e">
        <f t="shared" si="30"/>
        <v>#REF!</v>
      </c>
      <c r="P70" s="31" t="e">
        <f t="shared" si="30"/>
        <v>#REF!</v>
      </c>
      <c r="Q70" s="31" t="e">
        <f t="shared" si="30"/>
        <v>#REF!</v>
      </c>
    </row>
    <row r="71" spans="1:17" outlineLevel="1" x14ac:dyDescent="0.25">
      <c r="A71" s="18">
        <v>3401</v>
      </c>
      <c r="B71" s="18" t="s">
        <v>31</v>
      </c>
      <c r="C71" s="35" t="e">
        <f>#REF!</f>
        <v>#REF!</v>
      </c>
      <c r="D71" s="35" t="s">
        <v>255</v>
      </c>
      <c r="E71"/>
      <c r="F71" s="31" t="e">
        <f t="shared" ref="F71:Q71" si="31">$C71*12*(1+F$6)*(F$184-F$182)</f>
        <v>#REF!</v>
      </c>
      <c r="G71" s="31" t="e">
        <f t="shared" si="31"/>
        <v>#REF!</v>
      </c>
      <c r="H71" s="31" t="e">
        <f t="shared" si="31"/>
        <v>#REF!</v>
      </c>
      <c r="I71" s="31" t="e">
        <f t="shared" si="31"/>
        <v>#REF!</v>
      </c>
      <c r="J71" s="31" t="e">
        <f t="shared" si="31"/>
        <v>#REF!</v>
      </c>
      <c r="K71" s="31" t="e">
        <f t="shared" si="31"/>
        <v>#REF!</v>
      </c>
      <c r="L71" s="31" t="e">
        <f t="shared" si="31"/>
        <v>#REF!</v>
      </c>
      <c r="M71" s="31" t="e">
        <f t="shared" si="31"/>
        <v>#REF!</v>
      </c>
      <c r="N71" s="31" t="e">
        <f t="shared" si="31"/>
        <v>#REF!</v>
      </c>
      <c r="O71" s="31" t="e">
        <f t="shared" si="31"/>
        <v>#REF!</v>
      </c>
      <c r="P71" s="31" t="e">
        <f t="shared" si="31"/>
        <v>#REF!</v>
      </c>
      <c r="Q71" s="31" t="e">
        <f t="shared" si="31"/>
        <v>#REF!</v>
      </c>
    </row>
    <row r="72" spans="1:17" outlineLevel="1" x14ac:dyDescent="0.25">
      <c r="A72" s="18">
        <v>3501</v>
      </c>
      <c r="B72" s="18" t="s">
        <v>32</v>
      </c>
      <c r="C72" s="34">
        <v>0.01</v>
      </c>
      <c r="D72" s="34"/>
      <c r="E72"/>
      <c r="F72" s="31" t="e">
        <f t="shared" ref="F72:Q73" si="32">(F$60+F$66)*$C72</f>
        <v>#REF!</v>
      </c>
      <c r="G72" s="31" t="e">
        <f t="shared" si="32"/>
        <v>#REF!</v>
      </c>
      <c r="H72" s="31" t="e">
        <f t="shared" si="32"/>
        <v>#REF!</v>
      </c>
      <c r="I72" s="31" t="e">
        <f t="shared" si="32"/>
        <v>#REF!</v>
      </c>
      <c r="J72" s="31" t="e">
        <f t="shared" si="32"/>
        <v>#REF!</v>
      </c>
      <c r="K72" s="31" t="e">
        <f t="shared" si="32"/>
        <v>#REF!</v>
      </c>
      <c r="L72" s="31" t="e">
        <f t="shared" si="32"/>
        <v>#REF!</v>
      </c>
      <c r="M72" s="31" t="e">
        <f t="shared" si="32"/>
        <v>#REF!</v>
      </c>
      <c r="N72" s="31" t="e">
        <f t="shared" si="32"/>
        <v>#REF!</v>
      </c>
      <c r="O72" s="31" t="e">
        <f t="shared" si="32"/>
        <v>#REF!</v>
      </c>
      <c r="P72" s="31" t="e">
        <f t="shared" si="32"/>
        <v>#REF!</v>
      </c>
      <c r="Q72" s="31" t="e">
        <f t="shared" si="32"/>
        <v>#REF!</v>
      </c>
    </row>
    <row r="73" spans="1:17" outlineLevel="1" x14ac:dyDescent="0.25">
      <c r="A73" s="18">
        <v>3601</v>
      </c>
      <c r="B73" s="18" t="s">
        <v>33</v>
      </c>
      <c r="C73" s="34">
        <v>2.4E-2</v>
      </c>
      <c r="D73" s="34"/>
      <c r="E73"/>
      <c r="F73" s="31" t="e">
        <f t="shared" si="32"/>
        <v>#REF!</v>
      </c>
      <c r="G73" s="31" t="e">
        <f t="shared" si="32"/>
        <v>#REF!</v>
      </c>
      <c r="H73" s="31" t="e">
        <f t="shared" si="32"/>
        <v>#REF!</v>
      </c>
      <c r="I73" s="31" t="e">
        <f t="shared" si="32"/>
        <v>#REF!</v>
      </c>
      <c r="J73" s="31" t="e">
        <f t="shared" si="32"/>
        <v>#REF!</v>
      </c>
      <c r="K73" s="31" t="e">
        <f t="shared" si="32"/>
        <v>#REF!</v>
      </c>
      <c r="L73" s="31" t="e">
        <f t="shared" si="32"/>
        <v>#REF!</v>
      </c>
      <c r="M73" s="31" t="e">
        <f t="shared" si="32"/>
        <v>#REF!</v>
      </c>
      <c r="N73" s="31" t="e">
        <f t="shared" si="32"/>
        <v>#REF!</v>
      </c>
      <c r="O73" s="31" t="e">
        <f t="shared" si="32"/>
        <v>#REF!</v>
      </c>
      <c r="P73" s="31" t="e">
        <f t="shared" si="32"/>
        <v>#REF!</v>
      </c>
      <c r="Q73" s="31" t="e">
        <f t="shared" si="32"/>
        <v>#REF!</v>
      </c>
    </row>
    <row r="74" spans="1:17" outlineLevel="1" x14ac:dyDescent="0.25">
      <c r="A74" s="18">
        <v>3901</v>
      </c>
      <c r="B74" s="18" t="s">
        <v>34</v>
      </c>
      <c r="C74" s="34">
        <v>0.03</v>
      </c>
      <c r="D74" s="34"/>
      <c r="E74"/>
      <c r="F74" s="52" t="e">
        <f>(F$66-F$62)*$C74</f>
        <v>#REF!</v>
      </c>
      <c r="G74" s="52" t="e">
        <f t="shared" ref="G74:Q74" si="33">(G$66-G$62)*$C74</f>
        <v>#REF!</v>
      </c>
      <c r="H74" s="52" t="e">
        <f t="shared" si="33"/>
        <v>#REF!</v>
      </c>
      <c r="I74" s="52" t="e">
        <f t="shared" si="33"/>
        <v>#REF!</v>
      </c>
      <c r="J74" s="52" t="e">
        <f t="shared" si="33"/>
        <v>#REF!</v>
      </c>
      <c r="K74" s="52" t="e">
        <f t="shared" si="33"/>
        <v>#REF!</v>
      </c>
      <c r="L74" s="52" t="e">
        <f t="shared" si="33"/>
        <v>#REF!</v>
      </c>
      <c r="M74" s="52" t="e">
        <f t="shared" si="33"/>
        <v>#REF!</v>
      </c>
      <c r="N74" s="52" t="e">
        <f t="shared" si="33"/>
        <v>#REF!</v>
      </c>
      <c r="O74" s="52" t="e">
        <f t="shared" si="33"/>
        <v>#REF!</v>
      </c>
      <c r="P74" s="52" t="e">
        <f t="shared" si="33"/>
        <v>#REF!</v>
      </c>
      <c r="Q74" s="52" t="e">
        <f t="shared" si="33"/>
        <v>#REF!</v>
      </c>
    </row>
    <row r="75" spans="1:17" x14ac:dyDescent="0.25">
      <c r="A75" s="18">
        <v>200</v>
      </c>
      <c r="B75" s="18" t="s">
        <v>106</v>
      </c>
      <c r="C75" s="18"/>
      <c r="D75" s="18"/>
      <c r="E75"/>
      <c r="F75" s="48" t="e">
        <f>SUM(F68:F74)</f>
        <v>#REF!</v>
      </c>
      <c r="G75" s="48" t="e">
        <f t="shared" ref="G75:Q75" si="34">SUM(G68:G74)</f>
        <v>#REF!</v>
      </c>
      <c r="H75" s="48" t="e">
        <f t="shared" si="34"/>
        <v>#REF!</v>
      </c>
      <c r="I75" s="48" t="e">
        <f t="shared" si="34"/>
        <v>#REF!</v>
      </c>
      <c r="J75" s="48" t="e">
        <f t="shared" si="34"/>
        <v>#REF!</v>
      </c>
      <c r="K75" s="48" t="e">
        <f t="shared" si="34"/>
        <v>#REF!</v>
      </c>
      <c r="L75" s="48" t="e">
        <f t="shared" si="34"/>
        <v>#REF!</v>
      </c>
      <c r="M75" s="48" t="e">
        <f t="shared" si="34"/>
        <v>#REF!</v>
      </c>
      <c r="N75" s="48" t="e">
        <f t="shared" si="34"/>
        <v>#REF!</v>
      </c>
      <c r="O75" s="48" t="e">
        <f t="shared" si="34"/>
        <v>#REF!</v>
      </c>
      <c r="P75" s="48" t="e">
        <f t="shared" si="34"/>
        <v>#REF!</v>
      </c>
      <c r="Q75" s="48" t="e">
        <f t="shared" si="34"/>
        <v>#REF!</v>
      </c>
    </row>
    <row r="76" spans="1:17" outlineLevel="1" x14ac:dyDescent="0.25">
      <c r="A76"/>
      <c r="B76" s="74" t="s">
        <v>37</v>
      </c>
      <c r="C76" t="s">
        <v>298</v>
      </c>
      <c r="D76" s="85">
        <v>175</v>
      </c>
      <c r="E76"/>
      <c r="F76" s="59" t="e">
        <f>$D76*F$169*(1+F$8)</f>
        <v>#REF!</v>
      </c>
      <c r="G76" s="59" t="e">
        <f t="shared" ref="G76:J77" si="35">$D76*(1+G$9)*IF((G$169-F$169)&gt;0,G$169-F$169,0)</f>
        <v>#REF!</v>
      </c>
      <c r="H76" s="59" t="e">
        <f t="shared" si="35"/>
        <v>#REF!</v>
      </c>
      <c r="I76" s="59" t="e">
        <f t="shared" si="35"/>
        <v>#REF!</v>
      </c>
      <c r="J76" s="59" t="e">
        <f t="shared" si="35"/>
        <v>#REF!</v>
      </c>
      <c r="K76" s="59" t="e">
        <f>$D76*(1+K$9)*IF((K$169-J$169)&gt;0,K$169-J$169,0)+(G$75*(1+K$9)*0.75)</f>
        <v>#REF!</v>
      </c>
      <c r="L76" s="59" t="e">
        <f t="shared" ref="L76:Q76" si="36">$D76*(1+L$9)*IF((L$169-K$169)&gt;0,L$169-K$169,0)+(H$75*(1+L$9)*0.75)</f>
        <v>#REF!</v>
      </c>
      <c r="M76" s="59" t="e">
        <f t="shared" si="36"/>
        <v>#REF!</v>
      </c>
      <c r="N76" s="59" t="e">
        <f t="shared" si="36"/>
        <v>#REF!</v>
      </c>
      <c r="O76" s="59" t="e">
        <f t="shared" si="36"/>
        <v>#REF!</v>
      </c>
      <c r="P76" s="59" t="e">
        <f t="shared" si="36"/>
        <v>#REF!</v>
      </c>
      <c r="Q76" s="59" t="e">
        <f t="shared" si="36"/>
        <v>#REF!</v>
      </c>
    </row>
    <row r="77" spans="1:17" outlineLevel="1" x14ac:dyDescent="0.25">
      <c r="A77"/>
      <c r="B77" s="18" t="s">
        <v>55</v>
      </c>
      <c r="C77" t="s">
        <v>298</v>
      </c>
      <c r="D77" s="85">
        <v>100</v>
      </c>
      <c r="E77"/>
      <c r="F77" s="59" t="e">
        <f>$D77*F$169*(1+F$8)</f>
        <v>#REF!</v>
      </c>
      <c r="G77" s="59" t="e">
        <f t="shared" si="35"/>
        <v>#REF!</v>
      </c>
      <c r="H77" s="59" t="e">
        <f t="shared" si="35"/>
        <v>#REF!</v>
      </c>
      <c r="I77" s="59" t="e">
        <f t="shared" si="35"/>
        <v>#REF!</v>
      </c>
      <c r="J77" s="59" t="e">
        <f t="shared" si="35"/>
        <v>#REF!</v>
      </c>
      <c r="K77" s="59" t="e">
        <f>$D77*(1+K$9)*IF((K$169-J$169)&gt;0,K$169-J$169,0)+(G$75*(1+K$9)*0.75)</f>
        <v>#REF!</v>
      </c>
      <c r="L77" s="59" t="e">
        <f t="shared" ref="L77:Q77" si="37">$D77*(1+L$9)*IF((L$169-K$169)&gt;0,L$169-K$169,0)+(H$75*(1+L$9)*0.75)</f>
        <v>#REF!</v>
      </c>
      <c r="M77" s="59" t="e">
        <f t="shared" si="37"/>
        <v>#REF!</v>
      </c>
      <c r="N77" s="59" t="e">
        <f t="shared" si="37"/>
        <v>#REF!</v>
      </c>
      <c r="O77" s="59" t="e">
        <f t="shared" si="37"/>
        <v>#REF!</v>
      </c>
      <c r="P77" s="59" t="e">
        <f t="shared" si="37"/>
        <v>#REF!</v>
      </c>
      <c r="Q77" s="59" t="e">
        <f t="shared" si="37"/>
        <v>#REF!</v>
      </c>
    </row>
    <row r="78" spans="1:17" outlineLevel="1" x14ac:dyDescent="0.25">
      <c r="A78"/>
      <c r="B78" s="18" t="s">
        <v>17</v>
      </c>
      <c r="C78" s="18" t="s">
        <v>17</v>
      </c>
      <c r="D78" s="85">
        <v>0</v>
      </c>
      <c r="E78"/>
      <c r="F78" s="59" t="e">
        <f t="shared" ref="F78:Q78" si="38">IF(F$169&gt;0,$D78*(1+F$9),0)</f>
        <v>#REF!</v>
      </c>
      <c r="G78" s="59" t="e">
        <f t="shared" si="38"/>
        <v>#REF!</v>
      </c>
      <c r="H78" s="59" t="e">
        <f t="shared" si="38"/>
        <v>#REF!</v>
      </c>
      <c r="I78" s="59" t="e">
        <f t="shared" si="38"/>
        <v>#REF!</v>
      </c>
      <c r="J78" s="59" t="e">
        <f t="shared" si="38"/>
        <v>#REF!</v>
      </c>
      <c r="K78" s="59" t="e">
        <f t="shared" si="38"/>
        <v>#REF!</v>
      </c>
      <c r="L78" s="59" t="e">
        <f t="shared" si="38"/>
        <v>#REF!</v>
      </c>
      <c r="M78" s="59" t="e">
        <f t="shared" si="38"/>
        <v>#REF!</v>
      </c>
      <c r="N78" s="59" t="e">
        <f t="shared" si="38"/>
        <v>#REF!</v>
      </c>
      <c r="O78" s="59" t="e">
        <f t="shared" si="38"/>
        <v>#REF!</v>
      </c>
      <c r="P78" s="59" t="e">
        <f t="shared" si="38"/>
        <v>#REF!</v>
      </c>
      <c r="Q78" s="59" t="e">
        <f t="shared" si="38"/>
        <v>#REF!</v>
      </c>
    </row>
    <row r="79" spans="1:17" outlineLevel="1" x14ac:dyDescent="0.25">
      <c r="A79"/>
      <c r="B79" s="18" t="s">
        <v>180</v>
      </c>
      <c r="C79" t="s">
        <v>94</v>
      </c>
      <c r="D79" s="85">
        <f>(75+100)/2</f>
        <v>87.5</v>
      </c>
      <c r="E79"/>
      <c r="F79" s="52" t="e">
        <f t="shared" ref="F79:Q79" si="39">$D79*F$169*(1+F$9)</f>
        <v>#REF!</v>
      </c>
      <c r="G79" s="52" t="e">
        <f t="shared" si="39"/>
        <v>#REF!</v>
      </c>
      <c r="H79" s="52" t="e">
        <f t="shared" si="39"/>
        <v>#REF!</v>
      </c>
      <c r="I79" s="52" t="e">
        <f t="shared" si="39"/>
        <v>#REF!</v>
      </c>
      <c r="J79" s="52" t="e">
        <f t="shared" si="39"/>
        <v>#REF!</v>
      </c>
      <c r="K79" s="52" t="e">
        <f t="shared" si="39"/>
        <v>#REF!</v>
      </c>
      <c r="L79" s="52" t="e">
        <f t="shared" si="39"/>
        <v>#REF!</v>
      </c>
      <c r="M79" s="52" t="e">
        <f t="shared" si="39"/>
        <v>#REF!</v>
      </c>
      <c r="N79" s="52" t="e">
        <f t="shared" si="39"/>
        <v>#REF!</v>
      </c>
      <c r="O79" s="52" t="e">
        <f t="shared" si="39"/>
        <v>#REF!</v>
      </c>
      <c r="P79" s="52" t="e">
        <f t="shared" si="39"/>
        <v>#REF!</v>
      </c>
      <c r="Q79" s="52" t="e">
        <f t="shared" si="39"/>
        <v>#REF!</v>
      </c>
    </row>
    <row r="80" spans="1:17" x14ac:dyDescent="0.25">
      <c r="A80">
        <v>300</v>
      </c>
      <c r="B80" s="18" t="s">
        <v>36</v>
      </c>
      <c r="D80" s="83"/>
      <c r="E80" s="48"/>
      <c r="F80" s="48" t="e">
        <f>SUM(F76:F79)</f>
        <v>#REF!</v>
      </c>
      <c r="G80" s="48" t="e">
        <f t="shared" ref="G80:Q80" si="40">SUM(G76:G79)</f>
        <v>#REF!</v>
      </c>
      <c r="H80" s="48" t="e">
        <f t="shared" si="40"/>
        <v>#REF!</v>
      </c>
      <c r="I80" s="48" t="e">
        <f t="shared" si="40"/>
        <v>#REF!</v>
      </c>
      <c r="J80" s="48" t="e">
        <f t="shared" si="40"/>
        <v>#REF!</v>
      </c>
      <c r="K80" s="48" t="e">
        <f t="shared" si="40"/>
        <v>#REF!</v>
      </c>
      <c r="L80" s="48" t="e">
        <f t="shared" si="40"/>
        <v>#REF!</v>
      </c>
      <c r="M80" s="48" t="e">
        <f t="shared" si="40"/>
        <v>#REF!</v>
      </c>
      <c r="N80" s="48" t="e">
        <f t="shared" si="40"/>
        <v>#REF!</v>
      </c>
      <c r="O80" s="48" t="e">
        <f t="shared" si="40"/>
        <v>#REF!</v>
      </c>
      <c r="P80" s="48" t="e">
        <f t="shared" si="40"/>
        <v>#REF!</v>
      </c>
      <c r="Q80" s="48" t="e">
        <f t="shared" si="40"/>
        <v>#REF!</v>
      </c>
    </row>
    <row r="81" spans="1:17" outlineLevel="1" x14ac:dyDescent="0.25">
      <c r="A81"/>
      <c r="B81" s="18" t="s">
        <v>40</v>
      </c>
      <c r="C81" s="85" t="s">
        <v>94</v>
      </c>
      <c r="D81" s="98">
        <v>50</v>
      </c>
      <c r="E81" s="48"/>
      <c r="F81" s="59" t="e">
        <f t="shared" ref="F81:Q82" si="41">$D81*F$169*(1+F$9)</f>
        <v>#REF!</v>
      </c>
      <c r="G81" s="59" t="e">
        <f t="shared" si="41"/>
        <v>#REF!</v>
      </c>
      <c r="H81" s="59" t="e">
        <f t="shared" si="41"/>
        <v>#REF!</v>
      </c>
      <c r="I81" s="59" t="e">
        <f t="shared" si="41"/>
        <v>#REF!</v>
      </c>
      <c r="J81" s="59" t="e">
        <f t="shared" si="41"/>
        <v>#REF!</v>
      </c>
      <c r="K81" s="59" t="e">
        <f t="shared" si="41"/>
        <v>#REF!</v>
      </c>
      <c r="L81" s="59" t="e">
        <f t="shared" si="41"/>
        <v>#REF!</v>
      </c>
      <c r="M81" s="59" t="e">
        <f t="shared" si="41"/>
        <v>#REF!</v>
      </c>
      <c r="N81" s="59" t="e">
        <f t="shared" si="41"/>
        <v>#REF!</v>
      </c>
      <c r="O81" s="59" t="e">
        <f t="shared" si="41"/>
        <v>#REF!</v>
      </c>
      <c r="P81" s="59" t="e">
        <f t="shared" si="41"/>
        <v>#REF!</v>
      </c>
      <c r="Q81" s="59" t="e">
        <f t="shared" si="41"/>
        <v>#REF!</v>
      </c>
    </row>
    <row r="82" spans="1:17" outlineLevel="1" x14ac:dyDescent="0.25">
      <c r="A82"/>
      <c r="B82" s="18" t="s">
        <v>41</v>
      </c>
      <c r="C82" s="85" t="s">
        <v>94</v>
      </c>
      <c r="D82" s="98">
        <v>0</v>
      </c>
      <c r="E82" s="48"/>
      <c r="F82" s="59" t="e">
        <f t="shared" si="41"/>
        <v>#REF!</v>
      </c>
      <c r="G82" s="59" t="e">
        <f t="shared" si="41"/>
        <v>#REF!</v>
      </c>
      <c r="H82" s="59" t="e">
        <f t="shared" si="41"/>
        <v>#REF!</v>
      </c>
      <c r="I82" s="59" t="e">
        <f t="shared" si="41"/>
        <v>#REF!</v>
      </c>
      <c r="J82" s="59" t="e">
        <f t="shared" si="41"/>
        <v>#REF!</v>
      </c>
      <c r="K82" s="59" t="e">
        <f t="shared" si="41"/>
        <v>#REF!</v>
      </c>
      <c r="L82" s="59" t="e">
        <f t="shared" si="41"/>
        <v>#REF!</v>
      </c>
      <c r="M82" s="59" t="e">
        <f t="shared" si="41"/>
        <v>#REF!</v>
      </c>
      <c r="N82" s="59" t="e">
        <f t="shared" si="41"/>
        <v>#REF!</v>
      </c>
      <c r="O82" s="59" t="e">
        <f t="shared" si="41"/>
        <v>#REF!</v>
      </c>
      <c r="P82" s="59" t="e">
        <f t="shared" si="41"/>
        <v>#REF!</v>
      </c>
      <c r="Q82" s="59" t="e">
        <f t="shared" si="41"/>
        <v>#REF!</v>
      </c>
    </row>
    <row r="83" spans="1:17" outlineLevel="1" x14ac:dyDescent="0.25">
      <c r="A83"/>
      <c r="B83" s="18" t="s">
        <v>95</v>
      </c>
      <c r="C83" s="85" t="s">
        <v>96</v>
      </c>
      <c r="D83" s="98">
        <v>200</v>
      </c>
      <c r="E83"/>
      <c r="F83" s="52" t="e">
        <f t="shared" ref="F83:Q83" si="42">IF(F$169&gt;0,$D83*(1+F$9),0)*12</f>
        <v>#REF!</v>
      </c>
      <c r="G83" s="52" t="e">
        <f t="shared" si="42"/>
        <v>#REF!</v>
      </c>
      <c r="H83" s="52" t="e">
        <f t="shared" si="42"/>
        <v>#REF!</v>
      </c>
      <c r="I83" s="52" t="e">
        <f t="shared" si="42"/>
        <v>#REF!</v>
      </c>
      <c r="J83" s="52" t="e">
        <f t="shared" si="42"/>
        <v>#REF!</v>
      </c>
      <c r="K83" s="52" t="e">
        <f t="shared" si="42"/>
        <v>#REF!</v>
      </c>
      <c r="L83" s="52" t="e">
        <f t="shared" si="42"/>
        <v>#REF!</v>
      </c>
      <c r="M83" s="52" t="e">
        <f t="shared" si="42"/>
        <v>#REF!</v>
      </c>
      <c r="N83" s="52" t="e">
        <f t="shared" si="42"/>
        <v>#REF!</v>
      </c>
      <c r="O83" s="52" t="e">
        <f t="shared" si="42"/>
        <v>#REF!</v>
      </c>
      <c r="P83" s="52" t="e">
        <f t="shared" si="42"/>
        <v>#REF!</v>
      </c>
      <c r="Q83" s="52" t="e">
        <f t="shared" si="42"/>
        <v>#REF!</v>
      </c>
    </row>
    <row r="84" spans="1:17" x14ac:dyDescent="0.25">
      <c r="A84">
        <v>350</v>
      </c>
      <c r="B84" s="18" t="s">
        <v>40</v>
      </c>
      <c r="E84"/>
      <c r="F84" s="48" t="e">
        <f t="shared" ref="F84:Q84" si="43">SUM(F81:F83)</f>
        <v>#REF!</v>
      </c>
      <c r="G84" s="48" t="e">
        <f t="shared" si="43"/>
        <v>#REF!</v>
      </c>
      <c r="H84" s="48" t="e">
        <f t="shared" si="43"/>
        <v>#REF!</v>
      </c>
      <c r="I84" s="48" t="e">
        <f t="shared" si="43"/>
        <v>#REF!</v>
      </c>
      <c r="J84" s="48" t="e">
        <f t="shared" si="43"/>
        <v>#REF!</v>
      </c>
      <c r="K84" s="48" t="e">
        <f t="shared" si="43"/>
        <v>#REF!</v>
      </c>
      <c r="L84" s="48" t="e">
        <f t="shared" si="43"/>
        <v>#REF!</v>
      </c>
      <c r="M84" s="48" t="e">
        <f t="shared" si="43"/>
        <v>#REF!</v>
      </c>
      <c r="N84" s="48" t="e">
        <f t="shared" si="43"/>
        <v>#REF!</v>
      </c>
      <c r="O84" s="48" t="e">
        <f t="shared" si="43"/>
        <v>#REF!</v>
      </c>
      <c r="P84" s="48" t="e">
        <f t="shared" si="43"/>
        <v>#REF!</v>
      </c>
      <c r="Q84" s="48" t="e">
        <f t="shared" si="43"/>
        <v>#REF!</v>
      </c>
    </row>
    <row r="85" spans="1:17" outlineLevel="1" x14ac:dyDescent="0.25">
      <c r="A85"/>
      <c r="B85" s="18"/>
      <c r="E85" s="6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7" outlineLevel="1" x14ac:dyDescent="0.25">
      <c r="A86"/>
      <c r="B86" s="18" t="s">
        <v>97</v>
      </c>
      <c r="C86" s="85" t="s">
        <v>102</v>
      </c>
      <c r="D86" s="149"/>
      <c r="E86"/>
      <c r="F86" s="31" t="e">
        <f t="shared" ref="F86:J87" si="44">$D86*(1+F$9)*IF((F$169-E$169)&gt;0,F$169-E$169,0)</f>
        <v>#REF!</v>
      </c>
      <c r="G86" s="31" t="e">
        <f t="shared" si="44"/>
        <v>#REF!</v>
      </c>
      <c r="H86" s="31" t="e">
        <f t="shared" si="44"/>
        <v>#REF!</v>
      </c>
      <c r="I86" s="31" t="e">
        <f t="shared" si="44"/>
        <v>#REF!</v>
      </c>
      <c r="J86" s="31" t="e">
        <f t="shared" si="44"/>
        <v>#REF!</v>
      </c>
      <c r="K86" s="31" t="e">
        <f t="shared" ref="K86:Q87" si="45">$D86*(1+K$9)*IF((K$169-J$169)&gt;0,K$169-J$169,0)+(I$86*(1+K$9))</f>
        <v>#REF!</v>
      </c>
      <c r="L86" s="31" t="e">
        <f t="shared" si="45"/>
        <v>#REF!</v>
      </c>
      <c r="M86" s="31" t="e">
        <f t="shared" si="45"/>
        <v>#REF!</v>
      </c>
      <c r="N86" s="31" t="e">
        <f t="shared" si="45"/>
        <v>#REF!</v>
      </c>
      <c r="O86" s="31" t="e">
        <f t="shared" si="45"/>
        <v>#REF!</v>
      </c>
      <c r="P86" s="31" t="e">
        <f t="shared" si="45"/>
        <v>#REF!</v>
      </c>
      <c r="Q86" s="31" t="e">
        <f t="shared" si="45"/>
        <v>#REF!</v>
      </c>
    </row>
    <row r="87" spans="1:17" outlineLevel="1" x14ac:dyDescent="0.25">
      <c r="A87"/>
      <c r="B87" s="18" t="s">
        <v>98</v>
      </c>
      <c r="C87" s="85" t="s">
        <v>102</v>
      </c>
      <c r="D87" s="149"/>
      <c r="E87"/>
      <c r="F87" s="31" t="e">
        <f t="shared" si="44"/>
        <v>#REF!</v>
      </c>
      <c r="G87" s="31" t="e">
        <f t="shared" si="44"/>
        <v>#REF!</v>
      </c>
      <c r="H87" s="31" t="e">
        <f t="shared" si="44"/>
        <v>#REF!</v>
      </c>
      <c r="I87" s="31" t="e">
        <f t="shared" si="44"/>
        <v>#REF!</v>
      </c>
      <c r="J87" s="31" t="e">
        <f t="shared" si="44"/>
        <v>#REF!</v>
      </c>
      <c r="K87" s="31" t="e">
        <f t="shared" si="45"/>
        <v>#REF!</v>
      </c>
      <c r="L87" s="31" t="e">
        <f t="shared" si="45"/>
        <v>#REF!</v>
      </c>
      <c r="M87" s="31" t="e">
        <f t="shared" si="45"/>
        <v>#REF!</v>
      </c>
      <c r="N87" s="31" t="e">
        <f t="shared" si="45"/>
        <v>#REF!</v>
      </c>
      <c r="O87" s="31" t="e">
        <f t="shared" si="45"/>
        <v>#REF!</v>
      </c>
      <c r="P87" s="31" t="e">
        <f t="shared" si="45"/>
        <v>#REF!</v>
      </c>
      <c r="Q87" s="31" t="e">
        <f t="shared" si="45"/>
        <v>#REF!</v>
      </c>
    </row>
    <row r="88" spans="1:17" outlineLevel="1" x14ac:dyDescent="0.25">
      <c r="A88"/>
      <c r="B88" s="18" t="s">
        <v>99</v>
      </c>
      <c r="C88" s="85" t="s">
        <v>103</v>
      </c>
      <c r="D88" s="98">
        <v>750</v>
      </c>
      <c r="E88"/>
      <c r="F88" s="31">
        <f>IF((F$180-E$180)&gt;0,ROUNDUP(F$180-E$180,0)*$D88*(1+F$9),0)</f>
        <v>0</v>
      </c>
      <c r="G88" s="31">
        <f t="shared" ref="G88:K90" si="46">IF((G$180-F$180)&gt;0,ROUNDUP(G$180-F$180,0)*$D88*(1+G$9),0)</f>
        <v>0</v>
      </c>
      <c r="H88" s="31">
        <f t="shared" si="46"/>
        <v>0</v>
      </c>
      <c r="I88" s="31">
        <f t="shared" si="46"/>
        <v>0</v>
      </c>
      <c r="J88" s="31">
        <f t="shared" si="46"/>
        <v>0</v>
      </c>
      <c r="K88" s="31">
        <f t="shared" si="46"/>
        <v>0</v>
      </c>
      <c r="L88" s="31">
        <f>IF((L$180-K$180)&gt;0,ROUNDUP(L$180-K$180,0)*$D88*(1+L$9),0)+(I88*(1+L$9))</f>
        <v>0</v>
      </c>
      <c r="M88" s="31">
        <f t="shared" ref="M88:Q90" si="47">IF((M$180-L$180)&gt;0,ROUNDUP(M$180-L$180,0)*$D88*(1+M$9),0)+(J88*(1+M$9))</f>
        <v>0</v>
      </c>
      <c r="N88" s="31">
        <f t="shared" si="47"/>
        <v>3479.9999999999995</v>
      </c>
      <c r="O88" s="31">
        <f t="shared" si="47"/>
        <v>1770</v>
      </c>
      <c r="P88" s="31">
        <f t="shared" si="47"/>
        <v>1800</v>
      </c>
      <c r="Q88" s="31">
        <f t="shared" si="47"/>
        <v>6075.5999999999995</v>
      </c>
    </row>
    <row r="89" spans="1:17" outlineLevel="1" x14ac:dyDescent="0.25">
      <c r="A89"/>
      <c r="B89" s="18" t="s">
        <v>100</v>
      </c>
      <c r="C89" s="85" t="s">
        <v>103</v>
      </c>
      <c r="D89" s="98">
        <v>100</v>
      </c>
      <c r="E89"/>
      <c r="F89" s="31">
        <f>IF((F$180-E$180)&gt;0,ROUNDUP(F$180-E$180,0)*$D89*(1+F$9),0)</f>
        <v>0</v>
      </c>
      <c r="G89" s="31">
        <f t="shared" si="46"/>
        <v>0</v>
      </c>
      <c r="H89" s="31">
        <f t="shared" si="46"/>
        <v>0</v>
      </c>
      <c r="I89" s="31">
        <f t="shared" si="46"/>
        <v>0</v>
      </c>
      <c r="J89" s="31">
        <f t="shared" si="46"/>
        <v>0</v>
      </c>
      <c r="K89" s="31">
        <f t="shared" si="46"/>
        <v>0</v>
      </c>
      <c r="L89" s="31">
        <f>IF((L$180-K$180)&gt;0,ROUNDUP(L$180-K$180,0)*$D89*(1+L$9),0)+(I89*(1+L$9))</f>
        <v>0</v>
      </c>
      <c r="M89" s="31">
        <f t="shared" si="47"/>
        <v>0</v>
      </c>
      <c r="N89" s="31">
        <f t="shared" si="47"/>
        <v>463.99999999999994</v>
      </c>
      <c r="O89" s="31">
        <f t="shared" si="47"/>
        <v>236</v>
      </c>
      <c r="P89" s="31">
        <f t="shared" si="47"/>
        <v>240</v>
      </c>
      <c r="Q89" s="31">
        <f t="shared" si="47"/>
        <v>810.07999999999993</v>
      </c>
    </row>
    <row r="90" spans="1:17" outlineLevel="1" x14ac:dyDescent="0.25">
      <c r="A90"/>
      <c r="B90" s="18" t="s">
        <v>101</v>
      </c>
      <c r="C90" s="85" t="s">
        <v>103</v>
      </c>
      <c r="D90" s="98">
        <v>250</v>
      </c>
      <c r="E90"/>
      <c r="F90" s="52">
        <f>IF((F$180-E$180)&gt;0,ROUNDUP(F$180-E$180,0)*$D90*(1+F$9),0)</f>
        <v>0</v>
      </c>
      <c r="G90" s="52">
        <f t="shared" si="46"/>
        <v>0</v>
      </c>
      <c r="H90" s="52">
        <f t="shared" si="46"/>
        <v>0</v>
      </c>
      <c r="I90" s="52">
        <f t="shared" si="46"/>
        <v>0</v>
      </c>
      <c r="J90" s="52">
        <f t="shared" si="46"/>
        <v>0</v>
      </c>
      <c r="K90" s="52">
        <f t="shared" si="46"/>
        <v>0</v>
      </c>
      <c r="L90" s="52">
        <f>IF((L$180-K$180)&gt;0,ROUNDUP(L$180-K$180,0)*$D90*(1+L$9),0)+(I90*(1+L$9))</f>
        <v>0</v>
      </c>
      <c r="M90" s="52">
        <f t="shared" si="47"/>
        <v>0</v>
      </c>
      <c r="N90" s="52">
        <f t="shared" si="47"/>
        <v>1160</v>
      </c>
      <c r="O90" s="52">
        <f t="shared" si="47"/>
        <v>590</v>
      </c>
      <c r="P90" s="52">
        <f t="shared" si="47"/>
        <v>600</v>
      </c>
      <c r="Q90" s="52">
        <f t="shared" si="47"/>
        <v>2025.2</v>
      </c>
    </row>
    <row r="91" spans="1:17" x14ac:dyDescent="0.25">
      <c r="A91">
        <v>370</v>
      </c>
      <c r="B91" s="18" t="s">
        <v>42</v>
      </c>
      <c r="C91" s="83"/>
      <c r="D91" s="83"/>
      <c r="E91"/>
      <c r="F91" s="48" t="e">
        <f t="shared" ref="F91:Q91" si="48">SUM(F86:F90)</f>
        <v>#REF!</v>
      </c>
      <c r="G91" s="48" t="e">
        <f t="shared" si="48"/>
        <v>#REF!</v>
      </c>
      <c r="H91" s="48" t="e">
        <f t="shared" si="48"/>
        <v>#REF!</v>
      </c>
      <c r="I91" s="48" t="e">
        <f t="shared" si="48"/>
        <v>#REF!</v>
      </c>
      <c r="J91" s="48" t="e">
        <f t="shared" si="48"/>
        <v>#REF!</v>
      </c>
      <c r="K91" s="48" t="e">
        <f t="shared" si="48"/>
        <v>#REF!</v>
      </c>
      <c r="L91" s="48" t="e">
        <f t="shared" si="48"/>
        <v>#REF!</v>
      </c>
      <c r="M91" s="48" t="e">
        <f t="shared" si="48"/>
        <v>#REF!</v>
      </c>
      <c r="N91" s="48" t="e">
        <f t="shared" si="48"/>
        <v>#REF!</v>
      </c>
      <c r="O91" s="48" t="e">
        <f t="shared" si="48"/>
        <v>#REF!</v>
      </c>
      <c r="P91" s="48" t="e">
        <f t="shared" si="48"/>
        <v>#REF!</v>
      </c>
      <c r="Q91" s="48" t="e">
        <f t="shared" si="48"/>
        <v>#REF!</v>
      </c>
    </row>
    <row r="92" spans="1:17" outlineLevel="1" x14ac:dyDescent="0.25">
      <c r="A92"/>
      <c r="B92" s="18" t="s">
        <v>104</v>
      </c>
      <c r="C92" s="85" t="s">
        <v>291</v>
      </c>
      <c r="D92" s="98">
        <v>750</v>
      </c>
      <c r="E92"/>
      <c r="F92" s="31" t="e">
        <f t="shared" ref="F92:K92" si="49">IF((F$183-E$183)&gt;0,ROUNDUP((F$183-E$183),0)*$D92*(1+F9),0)</f>
        <v>#REF!</v>
      </c>
      <c r="G92" s="31" t="e">
        <f t="shared" si="49"/>
        <v>#REF!</v>
      </c>
      <c r="H92" s="31" t="e">
        <f t="shared" si="49"/>
        <v>#REF!</v>
      </c>
      <c r="I92" s="31" t="e">
        <f t="shared" si="49"/>
        <v>#REF!</v>
      </c>
      <c r="J92" s="31" t="e">
        <f t="shared" si="49"/>
        <v>#REF!</v>
      </c>
      <c r="K92" s="31" t="e">
        <f t="shared" si="49"/>
        <v>#REF!</v>
      </c>
      <c r="L92" s="31" t="e">
        <f t="shared" ref="L92:Q92" si="50">IF((L$183-K$183)&gt;0,ROUNDUP((L$183-K$183),0)*$D92*(1+L9),0)+(I92*(1+L9))</f>
        <v>#REF!</v>
      </c>
      <c r="M92" s="31" t="e">
        <f t="shared" si="50"/>
        <v>#REF!</v>
      </c>
      <c r="N92" s="31" t="e">
        <f t="shared" si="50"/>
        <v>#REF!</v>
      </c>
      <c r="O92" s="31" t="e">
        <f t="shared" si="50"/>
        <v>#REF!</v>
      </c>
      <c r="P92" s="31" t="e">
        <f t="shared" si="50"/>
        <v>#REF!</v>
      </c>
      <c r="Q92" s="31" t="e">
        <f t="shared" si="50"/>
        <v>#REF!</v>
      </c>
    </row>
    <row r="93" spans="1:17" outlineLevel="1" x14ac:dyDescent="0.25">
      <c r="A93"/>
      <c r="B93" s="18" t="s">
        <v>105</v>
      </c>
      <c r="C93" s="83"/>
      <c r="D93" s="98">
        <v>100</v>
      </c>
      <c r="E93"/>
      <c r="F93" s="52" t="e">
        <f>IF((F$169)&gt;0,($D93*(1+F9)),0)</f>
        <v>#REF!</v>
      </c>
      <c r="G93" s="52" t="e">
        <f t="shared" ref="G93:Q93" si="51">IF((G$169)&gt;0,($D93*(1+G9)),0)</f>
        <v>#REF!</v>
      </c>
      <c r="H93" s="52" t="e">
        <f t="shared" si="51"/>
        <v>#REF!</v>
      </c>
      <c r="I93" s="52" t="e">
        <f t="shared" si="51"/>
        <v>#REF!</v>
      </c>
      <c r="J93" s="52" t="e">
        <f t="shared" si="51"/>
        <v>#REF!</v>
      </c>
      <c r="K93" s="52" t="e">
        <f t="shared" si="51"/>
        <v>#REF!</v>
      </c>
      <c r="L93" s="52" t="e">
        <f t="shared" si="51"/>
        <v>#REF!</v>
      </c>
      <c r="M93" s="52" t="e">
        <f t="shared" si="51"/>
        <v>#REF!</v>
      </c>
      <c r="N93" s="52" t="e">
        <f t="shared" si="51"/>
        <v>#REF!</v>
      </c>
      <c r="O93" s="52" t="e">
        <f t="shared" si="51"/>
        <v>#REF!</v>
      </c>
      <c r="P93" s="52" t="e">
        <f t="shared" si="51"/>
        <v>#REF!</v>
      </c>
      <c r="Q93" s="52" t="e">
        <f t="shared" si="51"/>
        <v>#REF!</v>
      </c>
    </row>
    <row r="94" spans="1:17" x14ac:dyDescent="0.25">
      <c r="A94">
        <v>380</v>
      </c>
      <c r="B94" s="18" t="s">
        <v>73</v>
      </c>
      <c r="C94" s="83"/>
      <c r="D94" s="83"/>
      <c r="E94"/>
      <c r="F94" s="48" t="e">
        <f t="shared" ref="F94:Q94" si="52">SUM(F92:F93)</f>
        <v>#REF!</v>
      </c>
      <c r="G94" s="48" t="e">
        <f t="shared" si="52"/>
        <v>#REF!</v>
      </c>
      <c r="H94" s="48" t="e">
        <f t="shared" si="52"/>
        <v>#REF!</v>
      </c>
      <c r="I94" s="48" t="e">
        <f t="shared" si="52"/>
        <v>#REF!</v>
      </c>
      <c r="J94" s="48" t="e">
        <f t="shared" si="52"/>
        <v>#REF!</v>
      </c>
      <c r="K94" s="48" t="e">
        <f t="shared" si="52"/>
        <v>#REF!</v>
      </c>
      <c r="L94" s="48" t="e">
        <f t="shared" si="52"/>
        <v>#REF!</v>
      </c>
      <c r="M94" s="48" t="e">
        <f t="shared" si="52"/>
        <v>#REF!</v>
      </c>
      <c r="N94" s="48" t="e">
        <f t="shared" si="52"/>
        <v>#REF!</v>
      </c>
      <c r="O94" s="48" t="e">
        <f t="shared" si="52"/>
        <v>#REF!</v>
      </c>
      <c r="P94" s="48" t="e">
        <f t="shared" si="52"/>
        <v>#REF!</v>
      </c>
      <c r="Q94" s="48" t="e">
        <f t="shared" si="52"/>
        <v>#REF!</v>
      </c>
    </row>
    <row r="95" spans="1:17" outlineLevel="1" x14ac:dyDescent="0.25">
      <c r="A95"/>
      <c r="B95" s="18"/>
      <c r="E95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outlineLevel="1" x14ac:dyDescent="0.25">
      <c r="A96"/>
      <c r="B96" s="18" t="s">
        <v>107</v>
      </c>
      <c r="C96" t="s">
        <v>299</v>
      </c>
      <c r="D96" s="86">
        <f>1692/450</f>
        <v>3.76</v>
      </c>
      <c r="E96"/>
      <c r="F96" s="59" t="e">
        <f>IF(F$169&gt;0,$D96*(1+F$9),0)*12*F$169</f>
        <v>#REF!</v>
      </c>
      <c r="G96" s="59" t="e">
        <f t="shared" ref="G96:Q104" si="53">IF(G$169&gt;0,$D96*(1+G$9),0)*12*G$169</f>
        <v>#REF!</v>
      </c>
      <c r="H96" s="59" t="e">
        <f t="shared" si="53"/>
        <v>#REF!</v>
      </c>
      <c r="I96" s="59" t="e">
        <f t="shared" si="53"/>
        <v>#REF!</v>
      </c>
      <c r="J96" s="59" t="e">
        <f t="shared" si="53"/>
        <v>#REF!</v>
      </c>
      <c r="K96" s="59" t="e">
        <f t="shared" si="53"/>
        <v>#REF!</v>
      </c>
      <c r="L96" s="59" t="e">
        <f t="shared" si="53"/>
        <v>#REF!</v>
      </c>
      <c r="M96" s="59" t="e">
        <f t="shared" si="53"/>
        <v>#REF!</v>
      </c>
      <c r="N96" s="59" t="e">
        <f t="shared" si="53"/>
        <v>#REF!</v>
      </c>
      <c r="O96" s="59" t="e">
        <f t="shared" si="53"/>
        <v>#REF!</v>
      </c>
      <c r="P96" s="59" t="e">
        <f t="shared" si="53"/>
        <v>#REF!</v>
      </c>
      <c r="Q96" s="59" t="e">
        <f t="shared" si="53"/>
        <v>#REF!</v>
      </c>
    </row>
    <row r="97" spans="1:17" outlineLevel="1" x14ac:dyDescent="0.25">
      <c r="A97"/>
      <c r="B97" s="18" t="s">
        <v>108</v>
      </c>
      <c r="C97" t="s">
        <v>299</v>
      </c>
      <c r="D97" s="86">
        <f>87/450</f>
        <v>0.19333333333333333</v>
      </c>
      <c r="E97"/>
      <c r="F97" s="59" t="e">
        <f>IF(F$169&gt;0,$D97*(1+F$9),0)*12*F$169</f>
        <v>#REF!</v>
      </c>
      <c r="G97" s="59" t="e">
        <f t="shared" si="53"/>
        <v>#REF!</v>
      </c>
      <c r="H97" s="59" t="e">
        <f t="shared" si="53"/>
        <v>#REF!</v>
      </c>
      <c r="I97" s="59" t="e">
        <f t="shared" si="53"/>
        <v>#REF!</v>
      </c>
      <c r="J97" s="59" t="e">
        <f t="shared" si="53"/>
        <v>#REF!</v>
      </c>
      <c r="K97" s="59" t="e">
        <f t="shared" si="53"/>
        <v>#REF!</v>
      </c>
      <c r="L97" s="59" t="e">
        <f t="shared" si="53"/>
        <v>#REF!</v>
      </c>
      <c r="M97" s="59" t="e">
        <f t="shared" si="53"/>
        <v>#REF!</v>
      </c>
      <c r="N97" s="59" t="e">
        <f t="shared" si="53"/>
        <v>#REF!</v>
      </c>
      <c r="O97" s="59" t="e">
        <f t="shared" si="53"/>
        <v>#REF!</v>
      </c>
      <c r="P97" s="59" t="e">
        <f t="shared" si="53"/>
        <v>#REF!</v>
      </c>
      <c r="Q97" s="59" t="e">
        <f t="shared" si="53"/>
        <v>#REF!</v>
      </c>
    </row>
    <row r="98" spans="1:17" outlineLevel="1" x14ac:dyDescent="0.25">
      <c r="A98"/>
      <c r="B98" s="18" t="s">
        <v>109</v>
      </c>
      <c r="C98" t="s">
        <v>299</v>
      </c>
      <c r="D98" s="84">
        <f>2409/450</f>
        <v>5.3533333333333335</v>
      </c>
      <c r="E98"/>
      <c r="F98" s="59" t="e">
        <f>IF(F$169&gt;0,$D98*(1+F$9),0)*12*F$169</f>
        <v>#REF!</v>
      </c>
      <c r="G98" s="59" t="e">
        <f t="shared" si="53"/>
        <v>#REF!</v>
      </c>
      <c r="H98" s="59" t="e">
        <f t="shared" si="53"/>
        <v>#REF!</v>
      </c>
      <c r="I98" s="59" t="e">
        <f t="shared" si="53"/>
        <v>#REF!</v>
      </c>
      <c r="J98" s="59" t="e">
        <f t="shared" si="53"/>
        <v>#REF!</v>
      </c>
      <c r="K98" s="59" t="e">
        <f t="shared" si="53"/>
        <v>#REF!</v>
      </c>
      <c r="L98" s="59" t="e">
        <f t="shared" si="53"/>
        <v>#REF!</v>
      </c>
      <c r="M98" s="59" t="e">
        <f t="shared" si="53"/>
        <v>#REF!</v>
      </c>
      <c r="N98" s="59" t="e">
        <f t="shared" si="53"/>
        <v>#REF!</v>
      </c>
      <c r="O98" s="59" t="e">
        <f t="shared" si="53"/>
        <v>#REF!</v>
      </c>
      <c r="P98" s="59" t="e">
        <f t="shared" si="53"/>
        <v>#REF!</v>
      </c>
      <c r="Q98" s="59" t="e">
        <f t="shared" si="53"/>
        <v>#REF!</v>
      </c>
    </row>
    <row r="99" spans="1:17" outlineLevel="1" x14ac:dyDescent="0.25">
      <c r="A99"/>
      <c r="B99" s="18" t="s">
        <v>185</v>
      </c>
      <c r="C99" t="s">
        <v>300</v>
      </c>
      <c r="D99" s="86">
        <f>518/450</f>
        <v>1.1511111111111112</v>
      </c>
      <c r="E99"/>
      <c r="F99" s="59" t="e">
        <f>IF(F$169&gt;0,$D99*(1+F$9),0)*12*F$169</f>
        <v>#REF!</v>
      </c>
      <c r="G99" s="59" t="e">
        <f t="shared" si="53"/>
        <v>#REF!</v>
      </c>
      <c r="H99" s="59" t="e">
        <f t="shared" si="53"/>
        <v>#REF!</v>
      </c>
      <c r="I99" s="59" t="e">
        <f t="shared" si="53"/>
        <v>#REF!</v>
      </c>
      <c r="J99" s="59" t="e">
        <f t="shared" si="53"/>
        <v>#REF!</v>
      </c>
      <c r="K99" s="59" t="e">
        <f t="shared" si="53"/>
        <v>#REF!</v>
      </c>
      <c r="L99" s="59" t="e">
        <f t="shared" si="53"/>
        <v>#REF!</v>
      </c>
      <c r="M99" s="59" t="e">
        <f t="shared" si="53"/>
        <v>#REF!</v>
      </c>
      <c r="N99" s="59" t="e">
        <f t="shared" si="53"/>
        <v>#REF!</v>
      </c>
      <c r="O99" s="59" t="e">
        <f t="shared" si="53"/>
        <v>#REF!</v>
      </c>
      <c r="P99" s="59" t="e">
        <f t="shared" si="53"/>
        <v>#REF!</v>
      </c>
      <c r="Q99" s="59" t="e">
        <f t="shared" si="53"/>
        <v>#REF!</v>
      </c>
    </row>
    <row r="100" spans="1:17" outlineLevel="1" x14ac:dyDescent="0.25">
      <c r="A100"/>
      <c r="B100" s="18" t="s">
        <v>110</v>
      </c>
      <c r="C100" t="s">
        <v>299</v>
      </c>
      <c r="D100" s="86">
        <f>538/450</f>
        <v>1.1955555555555555</v>
      </c>
      <c r="E100"/>
      <c r="F100" s="59" t="e">
        <f>IF(F$169&gt;0,$D100*(1+F$9),0)*12*F$169</f>
        <v>#REF!</v>
      </c>
      <c r="G100" s="59" t="e">
        <f t="shared" si="53"/>
        <v>#REF!</v>
      </c>
      <c r="H100" s="59" t="e">
        <f t="shared" si="53"/>
        <v>#REF!</v>
      </c>
      <c r="I100" s="59" t="e">
        <f t="shared" si="53"/>
        <v>#REF!</v>
      </c>
      <c r="J100" s="59" t="e">
        <f t="shared" si="53"/>
        <v>#REF!</v>
      </c>
      <c r="K100" s="59" t="e">
        <f t="shared" si="53"/>
        <v>#REF!</v>
      </c>
      <c r="L100" s="59" t="e">
        <f t="shared" si="53"/>
        <v>#REF!</v>
      </c>
      <c r="M100" s="59" t="e">
        <f t="shared" si="53"/>
        <v>#REF!</v>
      </c>
      <c r="N100" s="59" t="e">
        <f t="shared" si="53"/>
        <v>#REF!</v>
      </c>
      <c r="O100" s="59" t="e">
        <f t="shared" si="53"/>
        <v>#REF!</v>
      </c>
      <c r="P100" s="59" t="e">
        <f t="shared" si="53"/>
        <v>#REF!</v>
      </c>
      <c r="Q100" s="59" t="e">
        <f t="shared" si="53"/>
        <v>#REF!</v>
      </c>
    </row>
    <row r="101" spans="1:17" outlineLevel="1" x14ac:dyDescent="0.25">
      <c r="A101"/>
      <c r="B101" s="18" t="s">
        <v>187</v>
      </c>
      <c r="C101" t="s">
        <v>188</v>
      </c>
      <c r="D101" s="84">
        <v>105</v>
      </c>
      <c r="E101"/>
      <c r="F101" s="59" t="e">
        <f t="shared" ref="F101:Q101" si="54">IF(F$169&gt;0,$D101*(1+F$9),0)*4</f>
        <v>#REF!</v>
      </c>
      <c r="G101" s="59" t="e">
        <f t="shared" si="54"/>
        <v>#REF!</v>
      </c>
      <c r="H101" s="59" t="e">
        <f t="shared" si="54"/>
        <v>#REF!</v>
      </c>
      <c r="I101" s="59" t="e">
        <f t="shared" si="54"/>
        <v>#REF!</v>
      </c>
      <c r="J101" s="59" t="e">
        <f t="shared" si="54"/>
        <v>#REF!</v>
      </c>
      <c r="K101" s="59" t="e">
        <f t="shared" si="54"/>
        <v>#REF!</v>
      </c>
      <c r="L101" s="59" t="e">
        <f t="shared" si="54"/>
        <v>#REF!</v>
      </c>
      <c r="M101" s="59" t="e">
        <f t="shared" si="54"/>
        <v>#REF!</v>
      </c>
      <c r="N101" s="59" t="e">
        <f t="shared" si="54"/>
        <v>#REF!</v>
      </c>
      <c r="O101" s="59" t="e">
        <f t="shared" si="54"/>
        <v>#REF!</v>
      </c>
      <c r="P101" s="59" t="e">
        <f t="shared" si="54"/>
        <v>#REF!</v>
      </c>
      <c r="Q101" s="59" t="e">
        <f t="shared" si="54"/>
        <v>#REF!</v>
      </c>
    </row>
    <row r="102" spans="1:17" outlineLevel="1" x14ac:dyDescent="0.25">
      <c r="A102"/>
      <c r="B102" s="18" t="s">
        <v>183</v>
      </c>
      <c r="C102" t="s">
        <v>299</v>
      </c>
      <c r="D102" s="86">
        <f>250/450</f>
        <v>0.55555555555555558</v>
      </c>
      <c r="E102"/>
      <c r="F102" s="59" t="e">
        <f>IF(F$169&gt;0,$D102*(1+F$9),0)*12*F$169</f>
        <v>#REF!</v>
      </c>
      <c r="G102" s="59" t="e">
        <f t="shared" si="53"/>
        <v>#REF!</v>
      </c>
      <c r="H102" s="59" t="e">
        <f t="shared" si="53"/>
        <v>#REF!</v>
      </c>
      <c r="I102" s="59" t="e">
        <f t="shared" si="53"/>
        <v>#REF!</v>
      </c>
      <c r="J102" s="59" t="e">
        <f t="shared" si="53"/>
        <v>#REF!</v>
      </c>
      <c r="K102" s="59" t="e">
        <f t="shared" si="53"/>
        <v>#REF!</v>
      </c>
      <c r="L102" s="59" t="e">
        <f t="shared" si="53"/>
        <v>#REF!</v>
      </c>
      <c r="M102" s="59" t="e">
        <f t="shared" si="53"/>
        <v>#REF!</v>
      </c>
      <c r="N102" s="59" t="e">
        <f t="shared" si="53"/>
        <v>#REF!</v>
      </c>
      <c r="O102" s="59" t="e">
        <f t="shared" si="53"/>
        <v>#REF!</v>
      </c>
      <c r="P102" s="59" t="e">
        <f t="shared" si="53"/>
        <v>#REF!</v>
      </c>
      <c r="Q102" s="59" t="e">
        <f t="shared" si="53"/>
        <v>#REF!</v>
      </c>
    </row>
    <row r="103" spans="1:17" outlineLevel="1" x14ac:dyDescent="0.25">
      <c r="A103"/>
      <c r="B103" s="18" t="s">
        <v>111</v>
      </c>
      <c r="C103" t="s">
        <v>299</v>
      </c>
      <c r="D103" s="86">
        <f>120/450</f>
        <v>0.26666666666666666</v>
      </c>
      <c r="E103"/>
      <c r="F103" s="59" t="e">
        <f>IF(F$169&gt;0,$D103*(1+F$9),0)*12*F$169</f>
        <v>#REF!</v>
      </c>
      <c r="G103" s="59" t="e">
        <f t="shared" si="53"/>
        <v>#REF!</v>
      </c>
      <c r="H103" s="59" t="e">
        <f t="shared" si="53"/>
        <v>#REF!</v>
      </c>
      <c r="I103" s="59" t="e">
        <f t="shared" si="53"/>
        <v>#REF!</v>
      </c>
      <c r="J103" s="59" t="e">
        <f t="shared" si="53"/>
        <v>#REF!</v>
      </c>
      <c r="K103" s="59" t="e">
        <f t="shared" si="53"/>
        <v>#REF!</v>
      </c>
      <c r="L103" s="59" t="e">
        <f t="shared" si="53"/>
        <v>#REF!</v>
      </c>
      <c r="M103" s="59" t="e">
        <f t="shared" si="53"/>
        <v>#REF!</v>
      </c>
      <c r="N103" s="59" t="e">
        <f t="shared" si="53"/>
        <v>#REF!</v>
      </c>
      <c r="O103" s="59" t="e">
        <f t="shared" si="53"/>
        <v>#REF!</v>
      </c>
      <c r="P103" s="59" t="e">
        <f t="shared" si="53"/>
        <v>#REF!</v>
      </c>
      <c r="Q103" s="59" t="e">
        <f t="shared" si="53"/>
        <v>#REF!</v>
      </c>
    </row>
    <row r="104" spans="1:17" outlineLevel="1" x14ac:dyDescent="0.25">
      <c r="A104"/>
      <c r="B104" s="18" t="s">
        <v>186</v>
      </c>
      <c r="C104" t="s">
        <v>299</v>
      </c>
      <c r="D104" s="86">
        <f>1320/450</f>
        <v>2.9333333333333331</v>
      </c>
      <c r="E104"/>
      <c r="F104" s="52" t="e">
        <f>IF(F$169&gt;0,$D104*(1+F$9),0)*12*F$169</f>
        <v>#REF!</v>
      </c>
      <c r="G104" s="52" t="e">
        <f t="shared" si="53"/>
        <v>#REF!</v>
      </c>
      <c r="H104" s="52" t="e">
        <f t="shared" si="53"/>
        <v>#REF!</v>
      </c>
      <c r="I104" s="52" t="e">
        <f t="shared" si="53"/>
        <v>#REF!</v>
      </c>
      <c r="J104" s="52" t="e">
        <f t="shared" si="53"/>
        <v>#REF!</v>
      </c>
      <c r="K104" s="52" t="e">
        <f t="shared" si="53"/>
        <v>#REF!</v>
      </c>
      <c r="L104" s="52" t="e">
        <f t="shared" si="53"/>
        <v>#REF!</v>
      </c>
      <c r="M104" s="52" t="e">
        <f t="shared" si="53"/>
        <v>#REF!</v>
      </c>
      <c r="N104" s="52" t="e">
        <f t="shared" si="53"/>
        <v>#REF!</v>
      </c>
      <c r="O104" s="52" t="e">
        <f t="shared" si="53"/>
        <v>#REF!</v>
      </c>
      <c r="P104" s="52" t="e">
        <f t="shared" si="53"/>
        <v>#REF!</v>
      </c>
      <c r="Q104" s="52" t="e">
        <f t="shared" si="53"/>
        <v>#REF!</v>
      </c>
    </row>
    <row r="105" spans="1:17" x14ac:dyDescent="0.25">
      <c r="A105">
        <v>400</v>
      </c>
      <c r="B105" s="18" t="s">
        <v>74</v>
      </c>
      <c r="D105" s="83"/>
      <c r="E105"/>
      <c r="F105" s="48" t="e">
        <f t="shared" ref="F105:Q105" si="55">SUM(F96:F104)</f>
        <v>#REF!</v>
      </c>
      <c r="G105" s="48" t="e">
        <f t="shared" si="55"/>
        <v>#REF!</v>
      </c>
      <c r="H105" s="48" t="e">
        <f t="shared" si="55"/>
        <v>#REF!</v>
      </c>
      <c r="I105" s="48" t="e">
        <f t="shared" si="55"/>
        <v>#REF!</v>
      </c>
      <c r="J105" s="48" t="e">
        <f t="shared" si="55"/>
        <v>#REF!</v>
      </c>
      <c r="K105" s="48" t="e">
        <f t="shared" si="55"/>
        <v>#REF!</v>
      </c>
      <c r="L105" s="48" t="e">
        <f t="shared" si="55"/>
        <v>#REF!</v>
      </c>
      <c r="M105" s="48" t="e">
        <f t="shared" si="55"/>
        <v>#REF!</v>
      </c>
      <c r="N105" s="48" t="e">
        <f t="shared" si="55"/>
        <v>#REF!</v>
      </c>
      <c r="O105" s="48" t="e">
        <f t="shared" si="55"/>
        <v>#REF!</v>
      </c>
      <c r="P105" s="48" t="e">
        <f t="shared" si="55"/>
        <v>#REF!</v>
      </c>
      <c r="Q105" s="48" t="e">
        <f t="shared" si="55"/>
        <v>#REF!</v>
      </c>
    </row>
    <row r="106" spans="1:17" x14ac:dyDescent="0.25">
      <c r="A106">
        <v>450</v>
      </c>
      <c r="B106" s="18" t="s">
        <v>75</v>
      </c>
      <c r="C106" t="s">
        <v>94</v>
      </c>
      <c r="D106" s="84">
        <v>900</v>
      </c>
      <c r="E106"/>
      <c r="F106" s="48" t="e">
        <f t="shared" ref="F106:Q106" si="56">$D106*F$169*(1+F$10)</f>
        <v>#REF!</v>
      </c>
      <c r="G106" s="48" t="e">
        <f t="shared" si="56"/>
        <v>#REF!</v>
      </c>
      <c r="H106" s="48" t="e">
        <f t="shared" si="56"/>
        <v>#REF!</v>
      </c>
      <c r="I106" s="48" t="e">
        <f t="shared" si="56"/>
        <v>#REF!</v>
      </c>
      <c r="J106" s="48" t="e">
        <f t="shared" si="56"/>
        <v>#REF!</v>
      </c>
      <c r="K106" s="48" t="e">
        <f t="shared" si="56"/>
        <v>#REF!</v>
      </c>
      <c r="L106" s="48" t="e">
        <f t="shared" si="56"/>
        <v>#REF!</v>
      </c>
      <c r="M106" s="48" t="e">
        <f t="shared" si="56"/>
        <v>#REF!</v>
      </c>
      <c r="N106" s="48" t="e">
        <f t="shared" si="56"/>
        <v>#REF!</v>
      </c>
      <c r="O106" s="48" t="e">
        <f t="shared" si="56"/>
        <v>#REF!</v>
      </c>
      <c r="P106" s="48" t="e">
        <f t="shared" si="56"/>
        <v>#REF!</v>
      </c>
      <c r="Q106" s="48" t="e">
        <f t="shared" si="56"/>
        <v>#REF!</v>
      </c>
    </row>
    <row r="107" spans="1:17" x14ac:dyDescent="0.25">
      <c r="A107">
        <v>480</v>
      </c>
      <c r="B107" s="18" t="s">
        <v>76</v>
      </c>
      <c r="C107" t="s">
        <v>112</v>
      </c>
      <c r="D107" s="84"/>
      <c r="E107"/>
      <c r="F107" s="59" t="e">
        <f t="shared" ref="F107:Q107" si="57">IF(F$169&gt;0,$D107*(1+F$9),0)*12</f>
        <v>#REF!</v>
      </c>
      <c r="G107" s="59" t="e">
        <f t="shared" si="57"/>
        <v>#REF!</v>
      </c>
      <c r="H107" s="59" t="e">
        <f t="shared" si="57"/>
        <v>#REF!</v>
      </c>
      <c r="I107" s="59" t="e">
        <f t="shared" si="57"/>
        <v>#REF!</v>
      </c>
      <c r="J107" s="59" t="e">
        <f t="shared" si="57"/>
        <v>#REF!</v>
      </c>
      <c r="K107" s="59" t="e">
        <f t="shared" si="57"/>
        <v>#REF!</v>
      </c>
      <c r="L107" s="59" t="e">
        <f t="shared" si="57"/>
        <v>#REF!</v>
      </c>
      <c r="M107" s="59" t="e">
        <f t="shared" si="57"/>
        <v>#REF!</v>
      </c>
      <c r="N107" s="59" t="e">
        <f t="shared" si="57"/>
        <v>#REF!</v>
      </c>
      <c r="O107" s="59" t="e">
        <f t="shared" si="57"/>
        <v>#REF!</v>
      </c>
      <c r="P107" s="59" t="e">
        <f t="shared" si="57"/>
        <v>#REF!</v>
      </c>
      <c r="Q107" s="59" t="e">
        <f t="shared" si="57"/>
        <v>#REF!</v>
      </c>
    </row>
    <row r="108" spans="1:17" outlineLevel="1" x14ac:dyDescent="0.25">
      <c r="A108"/>
      <c r="B108" s="18" t="s">
        <v>113</v>
      </c>
      <c r="C108" t="s">
        <v>189</v>
      </c>
      <c r="D108" s="85">
        <v>28000</v>
      </c>
      <c r="E108"/>
      <c r="F108" s="48" t="e">
        <f t="shared" ref="F108:Q108" si="58">$D108/46*(1+F$10)*10*F$172</f>
        <v>#REF!</v>
      </c>
      <c r="G108" s="48" t="e">
        <f t="shared" si="58"/>
        <v>#REF!</v>
      </c>
      <c r="H108" s="48" t="e">
        <f t="shared" si="58"/>
        <v>#REF!</v>
      </c>
      <c r="I108" s="48" t="e">
        <f t="shared" si="58"/>
        <v>#REF!</v>
      </c>
      <c r="J108" s="48" t="e">
        <f t="shared" si="58"/>
        <v>#REF!</v>
      </c>
      <c r="K108" s="48" t="e">
        <f t="shared" si="58"/>
        <v>#REF!</v>
      </c>
      <c r="L108" s="48" t="e">
        <f t="shared" si="58"/>
        <v>#REF!</v>
      </c>
      <c r="M108" s="48" t="e">
        <f t="shared" si="58"/>
        <v>#REF!</v>
      </c>
      <c r="N108" s="48" t="e">
        <f t="shared" si="58"/>
        <v>#REF!</v>
      </c>
      <c r="O108" s="48" t="e">
        <f t="shared" si="58"/>
        <v>#REF!</v>
      </c>
      <c r="P108" s="48" t="e">
        <f t="shared" si="58"/>
        <v>#REF!</v>
      </c>
      <c r="Q108" s="48" t="e">
        <f t="shared" si="58"/>
        <v>#REF!</v>
      </c>
    </row>
    <row r="109" spans="1:17" outlineLevel="1" x14ac:dyDescent="0.25">
      <c r="A109"/>
      <c r="B109" s="18" t="s">
        <v>113</v>
      </c>
      <c r="C109" t="s">
        <v>114</v>
      </c>
      <c r="D109" s="84">
        <v>0</v>
      </c>
      <c r="E109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outlineLevel="1" x14ac:dyDescent="0.25">
      <c r="A110"/>
      <c r="B110" s="18" t="s">
        <v>133</v>
      </c>
      <c r="C110" t="s">
        <v>264</v>
      </c>
      <c r="D110" s="136">
        <v>0.4</v>
      </c>
      <c r="E110"/>
      <c r="F110" s="59" t="e">
        <f t="shared" ref="F110:Q110" si="59">$D110*(F27+F35)</f>
        <v>#REF!</v>
      </c>
      <c r="G110" s="59" t="e">
        <f t="shared" si="59"/>
        <v>#REF!</v>
      </c>
      <c r="H110" s="59" t="e">
        <f t="shared" si="59"/>
        <v>#REF!</v>
      </c>
      <c r="I110" s="59" t="e">
        <f t="shared" si="59"/>
        <v>#REF!</v>
      </c>
      <c r="J110" s="59" t="e">
        <f t="shared" si="59"/>
        <v>#REF!</v>
      </c>
      <c r="K110" s="59" t="e">
        <f t="shared" si="59"/>
        <v>#REF!</v>
      </c>
      <c r="L110" s="59" t="e">
        <f t="shared" si="59"/>
        <v>#REF!</v>
      </c>
      <c r="M110" s="59" t="e">
        <f t="shared" si="59"/>
        <v>#REF!</v>
      </c>
      <c r="N110" s="59" t="e">
        <f t="shared" si="59"/>
        <v>#REF!</v>
      </c>
      <c r="O110" s="59" t="e">
        <f t="shared" si="59"/>
        <v>#REF!</v>
      </c>
      <c r="P110" s="59" t="e">
        <f t="shared" si="59"/>
        <v>#REF!</v>
      </c>
      <c r="Q110" s="59" t="e">
        <f t="shared" si="59"/>
        <v>#REF!</v>
      </c>
    </row>
    <row r="111" spans="1:17" outlineLevel="1" x14ac:dyDescent="0.25">
      <c r="A111"/>
      <c r="B111" s="18" t="s">
        <v>115</v>
      </c>
      <c r="C111" t="s">
        <v>116</v>
      </c>
      <c r="D111" s="84">
        <v>160</v>
      </c>
      <c r="E111"/>
      <c r="F111" s="52">
        <f t="shared" ref="F111:Q111" si="60">$D111*F$180*(1+F$9)*10</f>
        <v>0</v>
      </c>
      <c r="G111" s="52">
        <f t="shared" si="60"/>
        <v>0</v>
      </c>
      <c r="H111" s="52">
        <f t="shared" si="60"/>
        <v>0</v>
      </c>
      <c r="I111" s="52">
        <f t="shared" si="60"/>
        <v>0</v>
      </c>
      <c r="J111" s="52">
        <f t="shared" si="60"/>
        <v>0</v>
      </c>
      <c r="K111" s="52">
        <f t="shared" si="60"/>
        <v>0</v>
      </c>
      <c r="L111" s="52">
        <f t="shared" si="60"/>
        <v>0</v>
      </c>
      <c r="M111" s="52">
        <f t="shared" si="60"/>
        <v>0</v>
      </c>
      <c r="N111" s="52">
        <f t="shared" si="60"/>
        <v>7424</v>
      </c>
      <c r="O111" s="52">
        <f t="shared" si="60"/>
        <v>11328</v>
      </c>
      <c r="P111" s="52">
        <f t="shared" si="60"/>
        <v>15360</v>
      </c>
      <c r="Q111" s="52">
        <f t="shared" si="60"/>
        <v>19520</v>
      </c>
    </row>
    <row r="112" spans="1:17" x14ac:dyDescent="0.25">
      <c r="A112">
        <v>500</v>
      </c>
      <c r="B112" s="18" t="s">
        <v>77</v>
      </c>
      <c r="D112" s="83"/>
      <c r="E112"/>
      <c r="F112" s="48" t="e">
        <f t="shared" ref="F112:Q112" si="61">SUM(F108:F111)</f>
        <v>#REF!</v>
      </c>
      <c r="G112" s="48" t="e">
        <f t="shared" si="61"/>
        <v>#REF!</v>
      </c>
      <c r="H112" s="48" t="e">
        <f t="shared" si="61"/>
        <v>#REF!</v>
      </c>
      <c r="I112" s="48" t="e">
        <f t="shared" si="61"/>
        <v>#REF!</v>
      </c>
      <c r="J112" s="48" t="e">
        <f t="shared" si="61"/>
        <v>#REF!</v>
      </c>
      <c r="K112" s="48" t="e">
        <f t="shared" si="61"/>
        <v>#REF!</v>
      </c>
      <c r="L112" s="48" t="e">
        <f t="shared" si="61"/>
        <v>#REF!</v>
      </c>
      <c r="M112" s="48" t="e">
        <f t="shared" si="61"/>
        <v>#REF!</v>
      </c>
      <c r="N112" s="48" t="e">
        <f t="shared" si="61"/>
        <v>#REF!</v>
      </c>
      <c r="O112" s="48" t="e">
        <f t="shared" si="61"/>
        <v>#REF!</v>
      </c>
      <c r="P112" s="48" t="e">
        <f t="shared" si="61"/>
        <v>#REF!</v>
      </c>
      <c r="Q112" s="48" t="e">
        <f t="shared" si="61"/>
        <v>#REF!</v>
      </c>
    </row>
    <row r="113" spans="1:17" outlineLevel="1" x14ac:dyDescent="0.25">
      <c r="A113"/>
      <c r="B113" s="18" t="s">
        <v>118</v>
      </c>
      <c r="C113" t="s">
        <v>45</v>
      </c>
      <c r="D113" s="84">
        <v>2500</v>
      </c>
      <c r="E113"/>
      <c r="F113" s="59" t="e">
        <f t="shared" ref="F113:Q114" si="62">IF(F$169&gt;0,$D113*(1+F$9),0)</f>
        <v>#REF!</v>
      </c>
      <c r="G113" s="59" t="e">
        <f t="shared" si="62"/>
        <v>#REF!</v>
      </c>
      <c r="H113" s="59" t="e">
        <f t="shared" si="62"/>
        <v>#REF!</v>
      </c>
      <c r="I113" s="59" t="e">
        <f t="shared" si="62"/>
        <v>#REF!</v>
      </c>
      <c r="J113" s="59" t="e">
        <f t="shared" si="62"/>
        <v>#REF!</v>
      </c>
      <c r="K113" s="59" t="e">
        <f t="shared" si="62"/>
        <v>#REF!</v>
      </c>
      <c r="L113" s="59" t="e">
        <f t="shared" si="62"/>
        <v>#REF!</v>
      </c>
      <c r="M113" s="59" t="e">
        <f t="shared" si="62"/>
        <v>#REF!</v>
      </c>
      <c r="N113" s="59" t="e">
        <f t="shared" si="62"/>
        <v>#REF!</v>
      </c>
      <c r="O113" s="59" t="e">
        <f t="shared" si="62"/>
        <v>#REF!</v>
      </c>
      <c r="P113" s="59" t="e">
        <f t="shared" si="62"/>
        <v>#REF!</v>
      </c>
      <c r="Q113" s="59" t="e">
        <f t="shared" si="62"/>
        <v>#REF!</v>
      </c>
    </row>
    <row r="114" spans="1:17" outlineLevel="1" x14ac:dyDescent="0.25">
      <c r="A114"/>
      <c r="B114" s="18" t="s">
        <v>119</v>
      </c>
      <c r="C114" t="s">
        <v>302</v>
      </c>
      <c r="D114" s="84">
        <v>0</v>
      </c>
      <c r="E114"/>
      <c r="F114" s="59" t="e">
        <f t="shared" si="62"/>
        <v>#REF!</v>
      </c>
      <c r="G114" s="59" t="e">
        <f t="shared" si="62"/>
        <v>#REF!</v>
      </c>
      <c r="H114" s="59" t="e">
        <f t="shared" si="62"/>
        <v>#REF!</v>
      </c>
      <c r="I114" s="59" t="e">
        <f t="shared" si="62"/>
        <v>#REF!</v>
      </c>
      <c r="J114" s="59" t="e">
        <f t="shared" si="62"/>
        <v>#REF!</v>
      </c>
      <c r="K114" s="59" t="e">
        <f t="shared" si="62"/>
        <v>#REF!</v>
      </c>
      <c r="L114" s="59" t="e">
        <f t="shared" si="62"/>
        <v>#REF!</v>
      </c>
      <c r="M114" s="59" t="e">
        <f t="shared" si="62"/>
        <v>#REF!</v>
      </c>
      <c r="N114" s="59" t="e">
        <f t="shared" si="62"/>
        <v>#REF!</v>
      </c>
      <c r="O114" s="59" t="e">
        <f t="shared" si="62"/>
        <v>#REF!</v>
      </c>
      <c r="P114" s="59" t="e">
        <f t="shared" si="62"/>
        <v>#REF!</v>
      </c>
      <c r="Q114" s="59" t="e">
        <f t="shared" si="62"/>
        <v>#REF!</v>
      </c>
    </row>
    <row r="115" spans="1:17" outlineLevel="1" x14ac:dyDescent="0.25">
      <c r="A115"/>
      <c r="B115" s="18" t="s">
        <v>121</v>
      </c>
      <c r="C115" t="s">
        <v>305</v>
      </c>
      <c r="D115" s="84">
        <v>0</v>
      </c>
      <c r="E115"/>
      <c r="F115" s="59" t="e">
        <f t="shared" ref="F115:Q115" si="63">IF(F$169&gt;0,$D115*(1+F$9),0)*12</f>
        <v>#REF!</v>
      </c>
      <c r="G115" s="59" t="e">
        <f t="shared" si="63"/>
        <v>#REF!</v>
      </c>
      <c r="H115" s="59" t="e">
        <f t="shared" si="63"/>
        <v>#REF!</v>
      </c>
      <c r="I115" s="59" t="e">
        <f t="shared" si="63"/>
        <v>#REF!</v>
      </c>
      <c r="J115" s="59" t="e">
        <f t="shared" si="63"/>
        <v>#REF!</v>
      </c>
      <c r="K115" s="59" t="e">
        <f t="shared" si="63"/>
        <v>#REF!</v>
      </c>
      <c r="L115" s="59" t="e">
        <f t="shared" si="63"/>
        <v>#REF!</v>
      </c>
      <c r="M115" s="59" t="e">
        <f t="shared" si="63"/>
        <v>#REF!</v>
      </c>
      <c r="N115" s="59" t="e">
        <f t="shared" si="63"/>
        <v>#REF!</v>
      </c>
      <c r="O115" s="59" t="e">
        <f t="shared" si="63"/>
        <v>#REF!</v>
      </c>
      <c r="P115" s="59" t="e">
        <f t="shared" si="63"/>
        <v>#REF!</v>
      </c>
      <c r="Q115" s="59" t="e">
        <f t="shared" si="63"/>
        <v>#REF!</v>
      </c>
    </row>
    <row r="116" spans="1:17" outlineLevel="1" x14ac:dyDescent="0.25">
      <c r="A116"/>
      <c r="B116" s="18" t="s">
        <v>176</v>
      </c>
      <c r="C116" t="s">
        <v>302</v>
      </c>
      <c r="D116" s="84">
        <v>0</v>
      </c>
      <c r="E116"/>
      <c r="F116" s="59" t="e">
        <f t="shared" ref="F116:Q116" si="64">IF(F$169&gt;0,$D116*(1+F$9),0)</f>
        <v>#REF!</v>
      </c>
      <c r="G116" s="59" t="e">
        <f t="shared" si="64"/>
        <v>#REF!</v>
      </c>
      <c r="H116" s="59" t="e">
        <f t="shared" si="64"/>
        <v>#REF!</v>
      </c>
      <c r="I116" s="59" t="e">
        <f t="shared" si="64"/>
        <v>#REF!</v>
      </c>
      <c r="J116" s="59" t="e">
        <f t="shared" si="64"/>
        <v>#REF!</v>
      </c>
      <c r="K116" s="59" t="e">
        <f t="shared" si="64"/>
        <v>#REF!</v>
      </c>
      <c r="L116" s="59" t="e">
        <f t="shared" si="64"/>
        <v>#REF!</v>
      </c>
      <c r="M116" s="59" t="e">
        <f t="shared" si="64"/>
        <v>#REF!</v>
      </c>
      <c r="N116" s="59" t="e">
        <f t="shared" si="64"/>
        <v>#REF!</v>
      </c>
      <c r="O116" s="59" t="e">
        <f t="shared" si="64"/>
        <v>#REF!</v>
      </c>
      <c r="P116" s="59" t="e">
        <f t="shared" si="64"/>
        <v>#REF!</v>
      </c>
      <c r="Q116" s="59" t="e">
        <f t="shared" si="64"/>
        <v>#REF!</v>
      </c>
    </row>
    <row r="117" spans="1:17" outlineLevel="1" x14ac:dyDescent="0.25">
      <c r="A117"/>
      <c r="B117" s="18" t="s">
        <v>175</v>
      </c>
      <c r="C117" t="s">
        <v>306</v>
      </c>
      <c r="D117" s="84">
        <v>400</v>
      </c>
      <c r="E117"/>
      <c r="F117" s="48" t="e">
        <f>$D117*F$169*(1+F$10)</f>
        <v>#REF!</v>
      </c>
      <c r="G117" s="48" t="e">
        <f>$D117*G$169*(1+G$10)</f>
        <v>#REF!</v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1:17" ht="30" outlineLevel="1" x14ac:dyDescent="0.25">
      <c r="A118"/>
      <c r="B118" s="18" t="s">
        <v>199</v>
      </c>
      <c r="C118" s="148" t="s">
        <v>297</v>
      </c>
      <c r="D118" s="84">
        <f>50319/450</f>
        <v>111.82</v>
      </c>
      <c r="E118"/>
      <c r="F118" s="59" t="e">
        <f>IF(F$169&gt;0,($D118*F$169)*(1+F$9),0)</f>
        <v>#REF!</v>
      </c>
      <c r="G118" s="59" t="e">
        <f>IF(G$169&gt;0,($D118*G$169)*(1+G$9),0)</f>
        <v>#REF!</v>
      </c>
      <c r="H118" s="59" t="e">
        <f>IF(H$169&gt;0,($D118*H$169)*(1+H$9),0)*0.9</f>
        <v>#REF!</v>
      </c>
      <c r="I118" s="59" t="e">
        <f t="shared" ref="I118:Q118" si="65">IF(I$169&gt;0,($D118*I$169)*(1+I$9),0)*0.9</f>
        <v>#REF!</v>
      </c>
      <c r="J118" s="59" t="e">
        <f t="shared" si="65"/>
        <v>#REF!</v>
      </c>
      <c r="K118" s="59" t="e">
        <f t="shared" si="65"/>
        <v>#REF!</v>
      </c>
      <c r="L118" s="59" t="e">
        <f t="shared" si="65"/>
        <v>#REF!</v>
      </c>
      <c r="M118" s="59" t="e">
        <f t="shared" si="65"/>
        <v>#REF!</v>
      </c>
      <c r="N118" s="59" t="e">
        <f t="shared" si="65"/>
        <v>#REF!</v>
      </c>
      <c r="O118" s="59" t="e">
        <f t="shared" si="65"/>
        <v>#REF!</v>
      </c>
      <c r="P118" s="59" t="e">
        <f t="shared" si="65"/>
        <v>#REF!</v>
      </c>
      <c r="Q118" s="59" t="e">
        <f t="shared" si="65"/>
        <v>#REF!</v>
      </c>
    </row>
    <row r="119" spans="1:17" outlineLevel="1" x14ac:dyDescent="0.25">
      <c r="A119"/>
      <c r="B119" s="18" t="s">
        <v>201</v>
      </c>
      <c r="C119" t="s">
        <v>94</v>
      </c>
      <c r="D119" s="86">
        <f>787.5/450</f>
        <v>1.75</v>
      </c>
      <c r="E119"/>
      <c r="F119" s="59" t="e">
        <f t="shared" ref="F119:Q119" si="66">$D119*F$169*(1+F$9)</f>
        <v>#REF!</v>
      </c>
      <c r="G119" s="59" t="e">
        <f t="shared" si="66"/>
        <v>#REF!</v>
      </c>
      <c r="H119" s="59" t="e">
        <f t="shared" si="66"/>
        <v>#REF!</v>
      </c>
      <c r="I119" s="59" t="e">
        <f t="shared" si="66"/>
        <v>#REF!</v>
      </c>
      <c r="J119" s="59" t="e">
        <f t="shared" si="66"/>
        <v>#REF!</v>
      </c>
      <c r="K119" s="59" t="e">
        <f t="shared" si="66"/>
        <v>#REF!</v>
      </c>
      <c r="L119" s="59" t="e">
        <f t="shared" si="66"/>
        <v>#REF!</v>
      </c>
      <c r="M119" s="59" t="e">
        <f t="shared" si="66"/>
        <v>#REF!</v>
      </c>
      <c r="N119" s="59" t="e">
        <f t="shared" si="66"/>
        <v>#REF!</v>
      </c>
      <c r="O119" s="59" t="e">
        <f t="shared" si="66"/>
        <v>#REF!</v>
      </c>
      <c r="P119" s="59" t="e">
        <f t="shared" si="66"/>
        <v>#REF!</v>
      </c>
      <c r="Q119" s="59" t="e">
        <f t="shared" si="66"/>
        <v>#REF!</v>
      </c>
    </row>
    <row r="120" spans="1:17" outlineLevel="1" x14ac:dyDescent="0.25">
      <c r="A120"/>
      <c r="B120" s="18" t="s">
        <v>202</v>
      </c>
      <c r="C120" t="s">
        <v>45</v>
      </c>
      <c r="D120" s="84">
        <v>3607</v>
      </c>
      <c r="E120"/>
      <c r="F120" s="59" t="e">
        <f t="shared" ref="F120:Q122" si="67">IF(F$169&gt;0,$D120*(1+F$9),0)</f>
        <v>#REF!</v>
      </c>
      <c r="G120" s="59" t="e">
        <f t="shared" si="67"/>
        <v>#REF!</v>
      </c>
      <c r="H120" s="59" t="e">
        <f t="shared" si="67"/>
        <v>#REF!</v>
      </c>
      <c r="I120" s="59" t="e">
        <f t="shared" si="67"/>
        <v>#REF!</v>
      </c>
      <c r="J120" s="59" t="e">
        <f t="shared" si="67"/>
        <v>#REF!</v>
      </c>
      <c r="K120" s="59" t="e">
        <f t="shared" si="67"/>
        <v>#REF!</v>
      </c>
      <c r="L120" s="59" t="e">
        <f t="shared" si="67"/>
        <v>#REF!</v>
      </c>
      <c r="M120" s="59" t="e">
        <f t="shared" si="67"/>
        <v>#REF!</v>
      </c>
      <c r="N120" s="59" t="e">
        <f t="shared" si="67"/>
        <v>#REF!</v>
      </c>
      <c r="O120" s="59" t="e">
        <f t="shared" si="67"/>
        <v>#REF!</v>
      </c>
      <c r="P120" s="59" t="e">
        <f t="shared" si="67"/>
        <v>#REF!</v>
      </c>
      <c r="Q120" s="59" t="e">
        <f t="shared" si="67"/>
        <v>#REF!</v>
      </c>
    </row>
    <row r="121" spans="1:17" ht="30" outlineLevel="1" x14ac:dyDescent="0.25">
      <c r="A121"/>
      <c r="B121" s="18" t="s">
        <v>200</v>
      </c>
      <c r="C121" s="148" t="s">
        <v>297</v>
      </c>
      <c r="D121" s="84">
        <f>4580/450</f>
        <v>10.177777777777777</v>
      </c>
      <c r="E121"/>
      <c r="F121" s="59" t="e">
        <f>IF(F$169&gt;0,($D121*F$169)*(1+F$9),0)</f>
        <v>#REF!</v>
      </c>
      <c r="G121" s="59" t="e">
        <f>IF(G$169&gt;0,($D121*G$169)*(1+G$9),0)</f>
        <v>#REF!</v>
      </c>
      <c r="H121" s="59" t="e">
        <f>IF(H$169&gt;0,($D121*H$169)*(1+H$9),0)*0.9</f>
        <v>#REF!</v>
      </c>
      <c r="I121" s="59" t="e">
        <f t="shared" ref="I121:Q121" si="68">IF(I$169&gt;0,($D121*I$169)*(1+I$9),0)*0.9</f>
        <v>#REF!</v>
      </c>
      <c r="J121" s="59" t="e">
        <f t="shared" si="68"/>
        <v>#REF!</v>
      </c>
      <c r="K121" s="59" t="e">
        <f t="shared" si="68"/>
        <v>#REF!</v>
      </c>
      <c r="L121" s="59" t="e">
        <f t="shared" si="68"/>
        <v>#REF!</v>
      </c>
      <c r="M121" s="59" t="e">
        <f t="shared" si="68"/>
        <v>#REF!</v>
      </c>
      <c r="N121" s="59" t="e">
        <f t="shared" si="68"/>
        <v>#REF!</v>
      </c>
      <c r="O121" s="59" t="e">
        <f t="shared" si="68"/>
        <v>#REF!</v>
      </c>
      <c r="P121" s="59" t="e">
        <f t="shared" si="68"/>
        <v>#REF!</v>
      </c>
      <c r="Q121" s="59" t="e">
        <f t="shared" si="68"/>
        <v>#REF!</v>
      </c>
    </row>
    <row r="122" spans="1:17" outlineLevel="1" x14ac:dyDescent="0.25">
      <c r="A122"/>
      <c r="B122" s="18" t="s">
        <v>120</v>
      </c>
      <c r="C122" t="s">
        <v>45</v>
      </c>
      <c r="D122" s="84">
        <v>5000</v>
      </c>
      <c r="E122"/>
      <c r="F122" s="52" t="e">
        <f t="shared" si="67"/>
        <v>#REF!</v>
      </c>
      <c r="G122" s="52" t="e">
        <f t="shared" si="67"/>
        <v>#REF!</v>
      </c>
      <c r="H122" s="52" t="e">
        <f t="shared" si="67"/>
        <v>#REF!</v>
      </c>
      <c r="I122" s="52" t="e">
        <f t="shared" si="67"/>
        <v>#REF!</v>
      </c>
      <c r="J122" s="52" t="e">
        <f t="shared" si="67"/>
        <v>#REF!</v>
      </c>
      <c r="K122" s="52" t="e">
        <f t="shared" si="67"/>
        <v>#REF!</v>
      </c>
      <c r="L122" s="52" t="e">
        <f t="shared" si="67"/>
        <v>#REF!</v>
      </c>
      <c r="M122" s="52" t="e">
        <f t="shared" si="67"/>
        <v>#REF!</v>
      </c>
      <c r="N122" s="52" t="e">
        <f t="shared" si="67"/>
        <v>#REF!</v>
      </c>
      <c r="O122" s="52" t="e">
        <f t="shared" si="67"/>
        <v>#REF!</v>
      </c>
      <c r="P122" s="52" t="e">
        <f t="shared" si="67"/>
        <v>#REF!</v>
      </c>
      <c r="Q122" s="52" t="e">
        <f t="shared" si="67"/>
        <v>#REF!</v>
      </c>
    </row>
    <row r="123" spans="1:17" x14ac:dyDescent="0.25">
      <c r="A123">
        <v>550</v>
      </c>
      <c r="B123" s="18" t="s">
        <v>78</v>
      </c>
      <c r="D123" s="83"/>
      <c r="E123"/>
      <c r="F123" s="48" t="e">
        <f>SUM(F113:F122)</f>
        <v>#REF!</v>
      </c>
      <c r="G123" s="48" t="e">
        <f t="shared" ref="G123:Q123" si="69">SUM(G113:G122)</f>
        <v>#REF!</v>
      </c>
      <c r="H123" s="48" t="e">
        <f t="shared" si="69"/>
        <v>#REF!</v>
      </c>
      <c r="I123" s="48" t="e">
        <f t="shared" si="69"/>
        <v>#REF!</v>
      </c>
      <c r="J123" s="48" t="e">
        <f t="shared" si="69"/>
        <v>#REF!</v>
      </c>
      <c r="K123" s="48" t="e">
        <f t="shared" si="69"/>
        <v>#REF!</v>
      </c>
      <c r="L123" s="48" t="e">
        <f t="shared" si="69"/>
        <v>#REF!</v>
      </c>
      <c r="M123" s="48" t="e">
        <f t="shared" si="69"/>
        <v>#REF!</v>
      </c>
      <c r="N123" s="48" t="e">
        <f t="shared" si="69"/>
        <v>#REF!</v>
      </c>
      <c r="O123" s="48" t="e">
        <f t="shared" si="69"/>
        <v>#REF!</v>
      </c>
      <c r="P123" s="48" t="e">
        <f t="shared" si="69"/>
        <v>#REF!</v>
      </c>
      <c r="Q123" s="48" t="e">
        <f t="shared" si="69"/>
        <v>#REF!</v>
      </c>
    </row>
    <row r="124" spans="1:17" x14ac:dyDescent="0.25">
      <c r="A124">
        <v>560</v>
      </c>
      <c r="B124" s="18" t="s">
        <v>122</v>
      </c>
      <c r="C124" t="s">
        <v>43</v>
      </c>
      <c r="D124" s="84">
        <f>5*182</f>
        <v>910</v>
      </c>
      <c r="E124"/>
      <c r="F124" s="59" t="e">
        <f t="shared" ref="F124:Q124" si="70">$D124*F$169*(1+F$9)</f>
        <v>#REF!</v>
      </c>
      <c r="G124" s="59" t="e">
        <f t="shared" si="70"/>
        <v>#REF!</v>
      </c>
      <c r="H124" s="59" t="e">
        <f t="shared" si="70"/>
        <v>#REF!</v>
      </c>
      <c r="I124" s="59" t="e">
        <f t="shared" si="70"/>
        <v>#REF!</v>
      </c>
      <c r="J124" s="59" t="e">
        <f t="shared" si="70"/>
        <v>#REF!</v>
      </c>
      <c r="K124" s="59" t="e">
        <f t="shared" si="70"/>
        <v>#REF!</v>
      </c>
      <c r="L124" s="59" t="e">
        <f t="shared" si="70"/>
        <v>#REF!</v>
      </c>
      <c r="M124" s="59" t="e">
        <f t="shared" si="70"/>
        <v>#REF!</v>
      </c>
      <c r="N124" s="59" t="e">
        <f t="shared" si="70"/>
        <v>#REF!</v>
      </c>
      <c r="O124" s="59" t="e">
        <f t="shared" si="70"/>
        <v>#REF!</v>
      </c>
      <c r="P124" s="59" t="e">
        <f t="shared" si="70"/>
        <v>#REF!</v>
      </c>
      <c r="Q124" s="59" t="e">
        <f t="shared" si="70"/>
        <v>#REF!</v>
      </c>
    </row>
    <row r="125" spans="1:17" x14ac:dyDescent="0.25">
      <c r="A125">
        <v>580</v>
      </c>
      <c r="B125" s="18" t="s">
        <v>79</v>
      </c>
      <c r="C125" t="s">
        <v>45</v>
      </c>
      <c r="D125" s="84">
        <v>2700</v>
      </c>
      <c r="E125"/>
      <c r="F125" s="59" t="e">
        <f t="shared" ref="F125:Q126" si="71">IF(F$169&gt;0,$D125*(1+F$9),0)</f>
        <v>#REF!</v>
      </c>
      <c r="G125" s="59" t="e">
        <f t="shared" si="71"/>
        <v>#REF!</v>
      </c>
      <c r="H125" s="59" t="e">
        <f t="shared" si="71"/>
        <v>#REF!</v>
      </c>
      <c r="I125" s="59" t="e">
        <f t="shared" si="71"/>
        <v>#REF!</v>
      </c>
      <c r="J125" s="59" t="e">
        <f t="shared" si="71"/>
        <v>#REF!</v>
      </c>
      <c r="K125" s="59" t="e">
        <f t="shared" si="71"/>
        <v>#REF!</v>
      </c>
      <c r="L125" s="59" t="e">
        <f t="shared" si="71"/>
        <v>#REF!</v>
      </c>
      <c r="M125" s="59" t="e">
        <f t="shared" si="71"/>
        <v>#REF!</v>
      </c>
      <c r="N125" s="59" t="e">
        <f t="shared" si="71"/>
        <v>#REF!</v>
      </c>
      <c r="O125" s="59" t="e">
        <f t="shared" si="71"/>
        <v>#REF!</v>
      </c>
      <c r="P125" s="59" t="e">
        <f t="shared" si="71"/>
        <v>#REF!</v>
      </c>
      <c r="Q125" s="59" t="e">
        <f t="shared" si="71"/>
        <v>#REF!</v>
      </c>
    </row>
    <row r="126" spans="1:17" x14ac:dyDescent="0.25">
      <c r="A126">
        <v>590</v>
      </c>
      <c r="B126" s="18" t="s">
        <v>44</v>
      </c>
      <c r="C126" t="s">
        <v>45</v>
      </c>
      <c r="D126" s="84">
        <v>15000</v>
      </c>
      <c r="E126"/>
      <c r="F126" s="59" t="e">
        <f t="shared" si="71"/>
        <v>#REF!</v>
      </c>
      <c r="G126" s="59" t="e">
        <f t="shared" si="71"/>
        <v>#REF!</v>
      </c>
      <c r="H126" s="59" t="e">
        <f t="shared" si="71"/>
        <v>#REF!</v>
      </c>
      <c r="I126" s="59" t="e">
        <f t="shared" si="71"/>
        <v>#REF!</v>
      </c>
      <c r="J126" s="59" t="e">
        <f t="shared" si="71"/>
        <v>#REF!</v>
      </c>
      <c r="K126" s="59" t="e">
        <f t="shared" si="71"/>
        <v>#REF!</v>
      </c>
      <c r="L126" s="59" t="e">
        <f t="shared" si="71"/>
        <v>#REF!</v>
      </c>
      <c r="M126" s="59" t="e">
        <f t="shared" si="71"/>
        <v>#REF!</v>
      </c>
      <c r="N126" s="59" t="e">
        <f t="shared" si="71"/>
        <v>#REF!</v>
      </c>
      <c r="O126" s="59" t="e">
        <f t="shared" si="71"/>
        <v>#REF!</v>
      </c>
      <c r="P126" s="59" t="e">
        <f t="shared" si="71"/>
        <v>#REF!</v>
      </c>
      <c r="Q126" s="59" t="e">
        <f t="shared" si="71"/>
        <v>#REF!</v>
      </c>
    </row>
    <row r="127" spans="1:17" x14ac:dyDescent="0.25">
      <c r="A127">
        <v>600</v>
      </c>
      <c r="B127" s="18" t="s">
        <v>80</v>
      </c>
      <c r="D127" s="83"/>
      <c r="E127"/>
    </row>
    <row r="128" spans="1:17" x14ac:dyDescent="0.25">
      <c r="A128">
        <v>700</v>
      </c>
      <c r="B128" s="18" t="s">
        <v>81</v>
      </c>
      <c r="D128" s="83"/>
      <c r="E128"/>
    </row>
    <row r="129" spans="1:17" x14ac:dyDescent="0.25">
      <c r="A129">
        <v>750</v>
      </c>
      <c r="B129" s="18" t="s">
        <v>82</v>
      </c>
      <c r="D129" s="83"/>
      <c r="E129"/>
    </row>
    <row r="130" spans="1:17" outlineLevel="1" x14ac:dyDescent="0.25">
      <c r="A130"/>
      <c r="B130" s="18" t="s">
        <v>123</v>
      </c>
      <c r="C130" t="s">
        <v>301</v>
      </c>
      <c r="D130" s="84">
        <v>0</v>
      </c>
      <c r="E130"/>
      <c r="F130" s="59" t="e">
        <f t="shared" ref="F130:Q131" si="72">IF(F$169&gt;0,$D130*(1+F$9),0)</f>
        <v>#REF!</v>
      </c>
      <c r="G130" s="59" t="e">
        <f t="shared" si="72"/>
        <v>#REF!</v>
      </c>
      <c r="H130" s="59" t="e">
        <f t="shared" si="72"/>
        <v>#REF!</v>
      </c>
      <c r="I130" s="59" t="e">
        <f t="shared" si="72"/>
        <v>#REF!</v>
      </c>
      <c r="J130" s="59" t="e">
        <f t="shared" si="72"/>
        <v>#REF!</v>
      </c>
      <c r="K130" s="59" t="e">
        <f t="shared" si="72"/>
        <v>#REF!</v>
      </c>
      <c r="L130" s="59" t="e">
        <f t="shared" si="72"/>
        <v>#REF!</v>
      </c>
      <c r="M130" s="59" t="e">
        <f t="shared" si="72"/>
        <v>#REF!</v>
      </c>
      <c r="N130" s="59" t="e">
        <f t="shared" si="72"/>
        <v>#REF!</v>
      </c>
      <c r="O130" s="59" t="e">
        <f t="shared" si="72"/>
        <v>#REF!</v>
      </c>
      <c r="P130" s="59" t="e">
        <f t="shared" si="72"/>
        <v>#REF!</v>
      </c>
      <c r="Q130" s="59" t="e">
        <f t="shared" si="72"/>
        <v>#REF!</v>
      </c>
    </row>
    <row r="131" spans="1:17" outlineLevel="1" x14ac:dyDescent="0.25">
      <c r="A131"/>
      <c r="B131" s="18" t="s">
        <v>124</v>
      </c>
      <c r="C131" t="s">
        <v>132</v>
      </c>
      <c r="D131" s="84">
        <v>1950</v>
      </c>
      <c r="E131"/>
      <c r="F131" s="59" t="e">
        <f t="shared" si="72"/>
        <v>#REF!</v>
      </c>
      <c r="G131" s="59" t="e">
        <f t="shared" si="72"/>
        <v>#REF!</v>
      </c>
      <c r="H131" s="59" t="e">
        <f t="shared" si="72"/>
        <v>#REF!</v>
      </c>
      <c r="I131" s="59" t="e">
        <f t="shared" si="72"/>
        <v>#REF!</v>
      </c>
      <c r="J131" s="59" t="e">
        <f t="shared" si="72"/>
        <v>#REF!</v>
      </c>
      <c r="K131" s="59" t="e">
        <f t="shared" si="72"/>
        <v>#REF!</v>
      </c>
      <c r="L131" s="59" t="e">
        <f t="shared" si="72"/>
        <v>#REF!</v>
      </c>
      <c r="M131" s="59" t="e">
        <f t="shared" si="72"/>
        <v>#REF!</v>
      </c>
      <c r="N131" s="59" t="e">
        <f t="shared" si="72"/>
        <v>#REF!</v>
      </c>
      <c r="O131" s="59" t="e">
        <f t="shared" si="72"/>
        <v>#REF!</v>
      </c>
      <c r="P131" s="59" t="e">
        <f t="shared" si="72"/>
        <v>#REF!</v>
      </c>
      <c r="Q131" s="59" t="e">
        <f t="shared" si="72"/>
        <v>#REF!</v>
      </c>
    </row>
    <row r="132" spans="1:17" outlineLevel="1" x14ac:dyDescent="0.25">
      <c r="A132"/>
      <c r="B132" s="18" t="s">
        <v>124</v>
      </c>
      <c r="C132" t="s">
        <v>131</v>
      </c>
      <c r="D132" s="86">
        <f>731/451</f>
        <v>1.6208425720620843</v>
      </c>
      <c r="E132"/>
      <c r="F132" s="59" t="e">
        <f t="shared" ref="F132:Q132" si="73">$D132*F$169*(1+F$9)*4</f>
        <v>#REF!</v>
      </c>
      <c r="G132" s="59" t="e">
        <f t="shared" si="73"/>
        <v>#REF!</v>
      </c>
      <c r="H132" s="59" t="e">
        <f t="shared" si="73"/>
        <v>#REF!</v>
      </c>
      <c r="I132" s="59" t="e">
        <f t="shared" si="73"/>
        <v>#REF!</v>
      </c>
      <c r="J132" s="59" t="e">
        <f t="shared" si="73"/>
        <v>#REF!</v>
      </c>
      <c r="K132" s="59" t="e">
        <f t="shared" si="73"/>
        <v>#REF!</v>
      </c>
      <c r="L132" s="59" t="e">
        <f t="shared" si="73"/>
        <v>#REF!</v>
      </c>
      <c r="M132" s="59" t="e">
        <f t="shared" si="73"/>
        <v>#REF!</v>
      </c>
      <c r="N132" s="59" t="e">
        <f t="shared" si="73"/>
        <v>#REF!</v>
      </c>
      <c r="O132" s="59" t="e">
        <f t="shared" si="73"/>
        <v>#REF!</v>
      </c>
      <c r="P132" s="59" t="e">
        <f t="shared" si="73"/>
        <v>#REF!</v>
      </c>
      <c r="Q132" s="59" t="e">
        <f t="shared" si="73"/>
        <v>#REF!</v>
      </c>
    </row>
    <row r="133" spans="1:17" outlineLevel="1" x14ac:dyDescent="0.25">
      <c r="A133"/>
      <c r="B133" s="18" t="s">
        <v>125</v>
      </c>
      <c r="C133" t="s">
        <v>126</v>
      </c>
      <c r="D133" s="84">
        <v>3600</v>
      </c>
      <c r="E133"/>
      <c r="F133" s="59" t="e">
        <f t="shared" ref="F133:Q135" si="74">IF(F$169&gt;0,$D133*(1+F$9),0)</f>
        <v>#REF!</v>
      </c>
      <c r="G133" s="59" t="e">
        <f t="shared" si="74"/>
        <v>#REF!</v>
      </c>
      <c r="H133" s="59" t="e">
        <f t="shared" si="74"/>
        <v>#REF!</v>
      </c>
      <c r="I133" s="59" t="e">
        <f t="shared" si="74"/>
        <v>#REF!</v>
      </c>
      <c r="J133" s="59" t="e">
        <f t="shared" si="74"/>
        <v>#REF!</v>
      </c>
      <c r="K133" s="59" t="e">
        <f t="shared" si="74"/>
        <v>#REF!</v>
      </c>
      <c r="L133" s="59" t="e">
        <f t="shared" si="74"/>
        <v>#REF!</v>
      </c>
      <c r="M133" s="59" t="e">
        <f t="shared" si="74"/>
        <v>#REF!</v>
      </c>
      <c r="N133" s="59" t="e">
        <f t="shared" si="74"/>
        <v>#REF!</v>
      </c>
      <c r="O133" s="59" t="e">
        <f t="shared" si="74"/>
        <v>#REF!</v>
      </c>
      <c r="P133" s="59" t="e">
        <f t="shared" si="74"/>
        <v>#REF!</v>
      </c>
      <c r="Q133" s="59" t="e">
        <f t="shared" si="74"/>
        <v>#REF!</v>
      </c>
    </row>
    <row r="134" spans="1:17" outlineLevel="1" x14ac:dyDescent="0.25">
      <c r="A134"/>
      <c r="B134" s="18" t="s">
        <v>127</v>
      </c>
      <c r="C134" t="s">
        <v>128</v>
      </c>
      <c r="D134" s="84">
        <v>5400</v>
      </c>
      <c r="E134"/>
      <c r="F134" s="59" t="e">
        <f t="shared" si="74"/>
        <v>#REF!</v>
      </c>
      <c r="G134" s="59" t="e">
        <f t="shared" si="74"/>
        <v>#REF!</v>
      </c>
      <c r="H134" s="59" t="e">
        <f t="shared" si="74"/>
        <v>#REF!</v>
      </c>
      <c r="I134" s="59" t="e">
        <f t="shared" si="74"/>
        <v>#REF!</v>
      </c>
      <c r="J134" s="59" t="e">
        <f t="shared" si="74"/>
        <v>#REF!</v>
      </c>
      <c r="K134" s="59" t="e">
        <f t="shared" si="74"/>
        <v>#REF!</v>
      </c>
      <c r="L134" s="59" t="e">
        <f t="shared" si="74"/>
        <v>#REF!</v>
      </c>
      <c r="M134" s="59" t="e">
        <f t="shared" si="74"/>
        <v>#REF!</v>
      </c>
      <c r="N134" s="59" t="e">
        <f t="shared" si="74"/>
        <v>#REF!</v>
      </c>
      <c r="O134" s="59" t="e">
        <f t="shared" si="74"/>
        <v>#REF!</v>
      </c>
      <c r="P134" s="59" t="e">
        <f t="shared" si="74"/>
        <v>#REF!</v>
      </c>
      <c r="Q134" s="59" t="e">
        <f t="shared" si="74"/>
        <v>#REF!</v>
      </c>
    </row>
    <row r="135" spans="1:17" outlineLevel="1" x14ac:dyDescent="0.25">
      <c r="A135"/>
      <c r="B135" s="18" t="s">
        <v>129</v>
      </c>
      <c r="C135" t="s">
        <v>184</v>
      </c>
      <c r="D135" s="84">
        <v>904</v>
      </c>
      <c r="E135"/>
      <c r="F135" s="59" t="e">
        <f t="shared" si="74"/>
        <v>#REF!</v>
      </c>
      <c r="G135" s="59" t="e">
        <f t="shared" si="74"/>
        <v>#REF!</v>
      </c>
      <c r="H135" s="59" t="e">
        <f t="shared" si="74"/>
        <v>#REF!</v>
      </c>
      <c r="I135" s="59" t="e">
        <f t="shared" si="74"/>
        <v>#REF!</v>
      </c>
      <c r="J135" s="59" t="e">
        <f t="shared" si="74"/>
        <v>#REF!</v>
      </c>
      <c r="K135" s="59" t="e">
        <f t="shared" si="74"/>
        <v>#REF!</v>
      </c>
      <c r="L135" s="59" t="e">
        <f t="shared" si="74"/>
        <v>#REF!</v>
      </c>
      <c r="M135" s="59" t="e">
        <f t="shared" si="74"/>
        <v>#REF!</v>
      </c>
      <c r="N135" s="59" t="e">
        <f t="shared" si="74"/>
        <v>#REF!</v>
      </c>
      <c r="O135" s="59" t="e">
        <f t="shared" si="74"/>
        <v>#REF!</v>
      </c>
      <c r="P135" s="59" t="e">
        <f t="shared" si="74"/>
        <v>#REF!</v>
      </c>
      <c r="Q135" s="59" t="e">
        <f t="shared" si="74"/>
        <v>#REF!</v>
      </c>
    </row>
    <row r="136" spans="1:17" outlineLevel="1" x14ac:dyDescent="0.25">
      <c r="A136"/>
      <c r="B136" s="18" t="s">
        <v>191</v>
      </c>
      <c r="C136" t="s">
        <v>112</v>
      </c>
      <c r="D136" s="84">
        <v>135</v>
      </c>
      <c r="E136"/>
      <c r="F136" s="59" t="e">
        <f t="shared" ref="F136:Q138" si="75">IF(F$169&gt;0,$D136*(1+F$9),0)*12</f>
        <v>#REF!</v>
      </c>
      <c r="G136" s="59" t="e">
        <f t="shared" si="75"/>
        <v>#REF!</v>
      </c>
      <c r="H136" s="59" t="e">
        <f t="shared" si="75"/>
        <v>#REF!</v>
      </c>
      <c r="I136" s="59" t="e">
        <f t="shared" si="75"/>
        <v>#REF!</v>
      </c>
      <c r="J136" s="59" t="e">
        <f t="shared" si="75"/>
        <v>#REF!</v>
      </c>
      <c r="K136" s="59" t="e">
        <f t="shared" si="75"/>
        <v>#REF!</v>
      </c>
      <c r="L136" s="59" t="e">
        <f t="shared" si="75"/>
        <v>#REF!</v>
      </c>
      <c r="M136" s="59" t="e">
        <f t="shared" si="75"/>
        <v>#REF!</v>
      </c>
      <c r="N136" s="59" t="e">
        <f t="shared" si="75"/>
        <v>#REF!</v>
      </c>
      <c r="O136" s="59" t="e">
        <f t="shared" si="75"/>
        <v>#REF!</v>
      </c>
      <c r="P136" s="59" t="e">
        <f t="shared" si="75"/>
        <v>#REF!</v>
      </c>
      <c r="Q136" s="59" t="e">
        <f t="shared" si="75"/>
        <v>#REF!</v>
      </c>
    </row>
    <row r="137" spans="1:17" outlineLevel="1" x14ac:dyDescent="0.25">
      <c r="A137"/>
      <c r="B137" s="18" t="s">
        <v>193</v>
      </c>
      <c r="C137" t="s">
        <v>112</v>
      </c>
      <c r="D137" s="84">
        <v>172</v>
      </c>
      <c r="E137"/>
      <c r="F137" s="59" t="e">
        <f t="shared" si="75"/>
        <v>#REF!</v>
      </c>
      <c r="G137" s="59" t="e">
        <f t="shared" si="75"/>
        <v>#REF!</v>
      </c>
      <c r="H137" s="59" t="e">
        <f t="shared" si="75"/>
        <v>#REF!</v>
      </c>
      <c r="I137" s="59" t="e">
        <f t="shared" si="75"/>
        <v>#REF!</v>
      </c>
      <c r="J137" s="59" t="e">
        <f t="shared" si="75"/>
        <v>#REF!</v>
      </c>
      <c r="K137" s="59" t="e">
        <f t="shared" si="75"/>
        <v>#REF!</v>
      </c>
      <c r="L137" s="59" t="e">
        <f t="shared" si="75"/>
        <v>#REF!</v>
      </c>
      <c r="M137" s="59" t="e">
        <f t="shared" si="75"/>
        <v>#REF!</v>
      </c>
      <c r="N137" s="59" t="e">
        <f t="shared" si="75"/>
        <v>#REF!</v>
      </c>
      <c r="O137" s="59" t="e">
        <f t="shared" si="75"/>
        <v>#REF!</v>
      </c>
      <c r="P137" s="59" t="e">
        <f t="shared" si="75"/>
        <v>#REF!</v>
      </c>
      <c r="Q137" s="59" t="e">
        <f t="shared" si="75"/>
        <v>#REF!</v>
      </c>
    </row>
    <row r="138" spans="1:17" outlineLevel="1" x14ac:dyDescent="0.25">
      <c r="A138"/>
      <c r="B138" s="18" t="s">
        <v>192</v>
      </c>
      <c r="C138" t="s">
        <v>112</v>
      </c>
      <c r="D138" s="84">
        <v>503.84624999999994</v>
      </c>
      <c r="E138"/>
      <c r="F138" s="59" t="e">
        <f t="shared" si="75"/>
        <v>#REF!</v>
      </c>
      <c r="G138" s="59" t="e">
        <f t="shared" si="75"/>
        <v>#REF!</v>
      </c>
      <c r="H138" s="59" t="e">
        <f t="shared" si="75"/>
        <v>#REF!</v>
      </c>
      <c r="I138" s="59" t="e">
        <f t="shared" si="75"/>
        <v>#REF!</v>
      </c>
      <c r="J138" s="59" t="e">
        <f t="shared" si="75"/>
        <v>#REF!</v>
      </c>
      <c r="K138" s="59" t="e">
        <f t="shared" si="75"/>
        <v>#REF!</v>
      </c>
      <c r="L138" s="59" t="e">
        <f t="shared" si="75"/>
        <v>#REF!</v>
      </c>
      <c r="M138" s="59" t="e">
        <f t="shared" si="75"/>
        <v>#REF!</v>
      </c>
      <c r="N138" s="59" t="e">
        <f t="shared" si="75"/>
        <v>#REF!</v>
      </c>
      <c r="O138" s="59" t="e">
        <f t="shared" si="75"/>
        <v>#REF!</v>
      </c>
      <c r="P138" s="59" t="e">
        <f t="shared" si="75"/>
        <v>#REF!</v>
      </c>
      <c r="Q138" s="59" t="e">
        <f t="shared" si="75"/>
        <v>#REF!</v>
      </c>
    </row>
    <row r="139" spans="1:17" outlineLevel="1" x14ac:dyDescent="0.25">
      <c r="A139"/>
      <c r="B139" s="18" t="s">
        <v>194</v>
      </c>
      <c r="C139" t="s">
        <v>195</v>
      </c>
      <c r="D139" s="84">
        <v>75</v>
      </c>
      <c r="E139"/>
      <c r="F139" s="59" t="e">
        <f t="shared" ref="F139:Q139" si="76">$D139*12*(1+F$9)*SUM(F$188:F$190)</f>
        <v>#REF!</v>
      </c>
      <c r="G139" s="59" t="e">
        <f t="shared" si="76"/>
        <v>#REF!</v>
      </c>
      <c r="H139" s="59" t="e">
        <f t="shared" si="76"/>
        <v>#REF!</v>
      </c>
      <c r="I139" s="59" t="e">
        <f t="shared" si="76"/>
        <v>#REF!</v>
      </c>
      <c r="J139" s="59" t="e">
        <f t="shared" si="76"/>
        <v>#REF!</v>
      </c>
      <c r="K139" s="59" t="e">
        <f t="shared" si="76"/>
        <v>#REF!</v>
      </c>
      <c r="L139" s="59" t="e">
        <f t="shared" si="76"/>
        <v>#REF!</v>
      </c>
      <c r="M139" s="59" t="e">
        <f t="shared" si="76"/>
        <v>#REF!</v>
      </c>
      <c r="N139" s="59" t="e">
        <f t="shared" si="76"/>
        <v>#REF!</v>
      </c>
      <c r="O139" s="59" t="e">
        <f t="shared" si="76"/>
        <v>#REF!</v>
      </c>
      <c r="P139" s="59" t="e">
        <f t="shared" si="76"/>
        <v>#REF!</v>
      </c>
      <c r="Q139" s="59" t="e">
        <f t="shared" si="76"/>
        <v>#REF!</v>
      </c>
    </row>
    <row r="140" spans="1:17" outlineLevel="1" x14ac:dyDescent="0.25">
      <c r="A140"/>
      <c r="B140" s="18" t="s">
        <v>196</v>
      </c>
      <c r="C140" t="s">
        <v>112</v>
      </c>
      <c r="D140" s="84">
        <v>105</v>
      </c>
      <c r="E140"/>
      <c r="F140" s="59" t="e">
        <f t="shared" ref="F140:Q140" si="77">IF(F$169&gt;0,$D140*(1+F$9),0)*12</f>
        <v>#REF!</v>
      </c>
      <c r="G140" s="59" t="e">
        <f t="shared" si="77"/>
        <v>#REF!</v>
      </c>
      <c r="H140" s="59" t="e">
        <f t="shared" si="77"/>
        <v>#REF!</v>
      </c>
      <c r="I140" s="59" t="e">
        <f t="shared" si="77"/>
        <v>#REF!</v>
      </c>
      <c r="J140" s="59" t="e">
        <f t="shared" si="77"/>
        <v>#REF!</v>
      </c>
      <c r="K140" s="59" t="e">
        <f t="shared" si="77"/>
        <v>#REF!</v>
      </c>
      <c r="L140" s="59" t="e">
        <f t="shared" si="77"/>
        <v>#REF!</v>
      </c>
      <c r="M140" s="59" t="e">
        <f t="shared" si="77"/>
        <v>#REF!</v>
      </c>
      <c r="N140" s="59" t="e">
        <f t="shared" si="77"/>
        <v>#REF!</v>
      </c>
      <c r="O140" s="59" t="e">
        <f t="shared" si="77"/>
        <v>#REF!</v>
      </c>
      <c r="P140" s="59" t="e">
        <f t="shared" si="77"/>
        <v>#REF!</v>
      </c>
      <c r="Q140" s="59" t="e">
        <f t="shared" si="77"/>
        <v>#REF!</v>
      </c>
    </row>
    <row r="141" spans="1:17" outlineLevel="1" x14ac:dyDescent="0.25">
      <c r="A141"/>
      <c r="B141" s="18" t="s">
        <v>130</v>
      </c>
      <c r="C141" t="s">
        <v>304</v>
      </c>
      <c r="D141" s="84">
        <v>0</v>
      </c>
      <c r="E141"/>
      <c r="F141" s="59" t="e">
        <f t="shared" ref="F141:Q142" si="78">IF(F$169&gt;0,$D141*(1+F$9),0)</f>
        <v>#REF!</v>
      </c>
      <c r="G141" s="59" t="e">
        <f t="shared" si="78"/>
        <v>#REF!</v>
      </c>
      <c r="H141" s="59" t="e">
        <f t="shared" si="78"/>
        <v>#REF!</v>
      </c>
      <c r="I141" s="59" t="e">
        <f t="shared" si="78"/>
        <v>#REF!</v>
      </c>
      <c r="J141" s="59" t="e">
        <f t="shared" si="78"/>
        <v>#REF!</v>
      </c>
      <c r="K141" s="59" t="e">
        <f t="shared" si="78"/>
        <v>#REF!</v>
      </c>
      <c r="L141" s="59" t="e">
        <f t="shared" si="78"/>
        <v>#REF!</v>
      </c>
      <c r="M141" s="59" t="e">
        <f t="shared" si="78"/>
        <v>#REF!</v>
      </c>
      <c r="N141" s="59" t="e">
        <f t="shared" si="78"/>
        <v>#REF!</v>
      </c>
      <c r="O141" s="59" t="e">
        <f t="shared" si="78"/>
        <v>#REF!</v>
      </c>
      <c r="P141" s="59" t="e">
        <f t="shared" si="78"/>
        <v>#REF!</v>
      </c>
      <c r="Q141" s="59" t="e">
        <f t="shared" si="78"/>
        <v>#REF!</v>
      </c>
    </row>
    <row r="142" spans="1:17" outlineLevel="1" x14ac:dyDescent="0.25">
      <c r="A142"/>
      <c r="B142" s="18" t="s">
        <v>130</v>
      </c>
      <c r="C142" t="s">
        <v>303</v>
      </c>
      <c r="D142" s="84">
        <v>0</v>
      </c>
      <c r="E142"/>
      <c r="F142" s="59" t="e">
        <f t="shared" si="78"/>
        <v>#REF!</v>
      </c>
      <c r="G142" s="59" t="e">
        <f t="shared" si="78"/>
        <v>#REF!</v>
      </c>
      <c r="H142" s="59" t="e">
        <f t="shared" si="78"/>
        <v>#REF!</v>
      </c>
      <c r="I142" s="59" t="e">
        <f t="shared" si="78"/>
        <v>#REF!</v>
      </c>
      <c r="J142" s="59" t="e">
        <f t="shared" si="78"/>
        <v>#REF!</v>
      </c>
      <c r="K142" s="59" t="e">
        <f t="shared" si="78"/>
        <v>#REF!</v>
      </c>
      <c r="L142" s="59" t="e">
        <f t="shared" si="78"/>
        <v>#REF!</v>
      </c>
      <c r="M142" s="59" t="e">
        <f t="shared" si="78"/>
        <v>#REF!</v>
      </c>
      <c r="N142" s="59" t="e">
        <f t="shared" si="78"/>
        <v>#REF!</v>
      </c>
      <c r="O142" s="59" t="e">
        <f t="shared" si="78"/>
        <v>#REF!</v>
      </c>
      <c r="P142" s="59" t="e">
        <f t="shared" si="78"/>
        <v>#REF!</v>
      </c>
      <c r="Q142" s="59" t="e">
        <f t="shared" si="78"/>
        <v>#REF!</v>
      </c>
    </row>
    <row r="143" spans="1:17" outlineLevel="1" x14ac:dyDescent="0.25">
      <c r="A143"/>
      <c r="B143" s="18" t="s">
        <v>130</v>
      </c>
      <c r="C143" t="s">
        <v>190</v>
      </c>
      <c r="D143" s="84">
        <v>30</v>
      </c>
      <c r="E143"/>
      <c r="F143" s="75" t="e">
        <f t="shared" ref="F143:Q143" si="79">$D143*(1+F$9)*F$184</f>
        <v>#REF!</v>
      </c>
      <c r="G143" s="75" t="e">
        <f t="shared" si="79"/>
        <v>#REF!</v>
      </c>
      <c r="H143" s="75" t="e">
        <f t="shared" si="79"/>
        <v>#REF!</v>
      </c>
      <c r="I143" s="75" t="e">
        <f t="shared" si="79"/>
        <v>#REF!</v>
      </c>
      <c r="J143" s="75" t="e">
        <f t="shared" si="79"/>
        <v>#REF!</v>
      </c>
      <c r="K143" s="75" t="e">
        <f t="shared" si="79"/>
        <v>#REF!</v>
      </c>
      <c r="L143" s="75" t="e">
        <f t="shared" si="79"/>
        <v>#REF!</v>
      </c>
      <c r="M143" s="75" t="e">
        <f t="shared" si="79"/>
        <v>#REF!</v>
      </c>
      <c r="N143" s="75" t="e">
        <f t="shared" si="79"/>
        <v>#REF!</v>
      </c>
      <c r="O143" s="75" t="e">
        <f t="shared" si="79"/>
        <v>#REF!</v>
      </c>
      <c r="P143" s="75" t="e">
        <f t="shared" si="79"/>
        <v>#REF!</v>
      </c>
      <c r="Q143" s="75" t="e">
        <f t="shared" si="79"/>
        <v>#REF!</v>
      </c>
    </row>
    <row r="144" spans="1:17" outlineLevel="1" x14ac:dyDescent="0.25">
      <c r="A144"/>
      <c r="B144" s="18" t="s">
        <v>130</v>
      </c>
      <c r="C144" t="s">
        <v>197</v>
      </c>
      <c r="D144" s="84">
        <v>500</v>
      </c>
      <c r="E144"/>
      <c r="F144" s="59" t="e">
        <f t="shared" ref="F144:Q144" si="80">IF(F$169&gt;0,$D144*(1+F$9),0)</f>
        <v>#REF!</v>
      </c>
      <c r="G144" s="59" t="e">
        <f t="shared" si="80"/>
        <v>#REF!</v>
      </c>
      <c r="H144" s="59" t="e">
        <f t="shared" si="80"/>
        <v>#REF!</v>
      </c>
      <c r="I144" s="59" t="e">
        <f t="shared" si="80"/>
        <v>#REF!</v>
      </c>
      <c r="J144" s="59" t="e">
        <f t="shared" si="80"/>
        <v>#REF!</v>
      </c>
      <c r="K144" s="59" t="e">
        <f t="shared" si="80"/>
        <v>#REF!</v>
      </c>
      <c r="L144" s="59" t="e">
        <f t="shared" si="80"/>
        <v>#REF!</v>
      </c>
      <c r="M144" s="59" t="e">
        <f t="shared" si="80"/>
        <v>#REF!</v>
      </c>
      <c r="N144" s="59" t="e">
        <f t="shared" si="80"/>
        <v>#REF!</v>
      </c>
      <c r="O144" s="59" t="e">
        <f t="shared" si="80"/>
        <v>#REF!</v>
      </c>
      <c r="P144" s="59" t="e">
        <f t="shared" si="80"/>
        <v>#REF!</v>
      </c>
      <c r="Q144" s="59" t="e">
        <f t="shared" si="80"/>
        <v>#REF!</v>
      </c>
    </row>
    <row r="145" spans="1:17" outlineLevel="1" x14ac:dyDescent="0.25">
      <c r="A145"/>
      <c r="B145" s="18" t="s">
        <v>265</v>
      </c>
      <c r="C145" t="s">
        <v>270</v>
      </c>
      <c r="D145" s="99">
        <v>0.01</v>
      </c>
      <c r="E145"/>
      <c r="F145" s="59" t="e">
        <f t="shared" ref="F145:Q145" si="81">$D145*(F25+F38+F39)</f>
        <v>#REF!</v>
      </c>
      <c r="G145" s="59" t="e">
        <f t="shared" si="81"/>
        <v>#REF!</v>
      </c>
      <c r="H145" s="59" t="e">
        <f t="shared" si="81"/>
        <v>#REF!</v>
      </c>
      <c r="I145" s="59" t="e">
        <f t="shared" si="81"/>
        <v>#REF!</v>
      </c>
      <c r="J145" s="59" t="e">
        <f t="shared" si="81"/>
        <v>#REF!</v>
      </c>
      <c r="K145" s="59" t="e">
        <f t="shared" si="81"/>
        <v>#REF!</v>
      </c>
      <c r="L145" s="59" t="e">
        <f t="shared" si="81"/>
        <v>#REF!</v>
      </c>
      <c r="M145" s="59" t="e">
        <f t="shared" si="81"/>
        <v>#REF!</v>
      </c>
      <c r="N145" s="59" t="e">
        <f t="shared" si="81"/>
        <v>#REF!</v>
      </c>
      <c r="O145" s="59" t="e">
        <f t="shared" si="81"/>
        <v>#REF!</v>
      </c>
      <c r="P145" s="59" t="e">
        <f t="shared" si="81"/>
        <v>#REF!</v>
      </c>
      <c r="Q145" s="59" t="e">
        <f t="shared" si="81"/>
        <v>#REF!</v>
      </c>
    </row>
    <row r="146" spans="1:17" outlineLevel="1" x14ac:dyDescent="0.25">
      <c r="A146"/>
      <c r="B146" s="18" t="s">
        <v>181</v>
      </c>
      <c r="C146" t="s">
        <v>182</v>
      </c>
      <c r="D146" s="99">
        <v>0.09</v>
      </c>
      <c r="E146"/>
      <c r="F146" s="49" t="e">
        <f>$D146*(F$53-F$50-F$51)</f>
        <v>#REF!</v>
      </c>
      <c r="G146" s="49" t="e">
        <f t="shared" ref="G146:Q146" si="82">$D146*(G$53-G$50-G$51)</f>
        <v>#REF!</v>
      </c>
      <c r="H146" s="49" t="e">
        <f t="shared" si="82"/>
        <v>#REF!</v>
      </c>
      <c r="I146" s="49" t="e">
        <f t="shared" si="82"/>
        <v>#REF!</v>
      </c>
      <c r="J146" s="49" t="e">
        <f t="shared" si="82"/>
        <v>#REF!</v>
      </c>
      <c r="K146" s="49" t="e">
        <f t="shared" si="82"/>
        <v>#REF!</v>
      </c>
      <c r="L146" s="49" t="e">
        <f t="shared" si="82"/>
        <v>#REF!</v>
      </c>
      <c r="M146" s="49" t="e">
        <f t="shared" si="82"/>
        <v>#REF!</v>
      </c>
      <c r="N146" s="49" t="e">
        <f t="shared" si="82"/>
        <v>#REF!</v>
      </c>
      <c r="O146" s="49" t="e">
        <f t="shared" si="82"/>
        <v>#REF!</v>
      </c>
      <c r="P146" s="49" t="e">
        <f t="shared" si="82"/>
        <v>#REF!</v>
      </c>
      <c r="Q146" s="49" t="e">
        <f t="shared" si="82"/>
        <v>#REF!</v>
      </c>
    </row>
    <row r="147" spans="1:17" x14ac:dyDescent="0.25">
      <c r="A147">
        <v>800</v>
      </c>
      <c r="B147" s="18" t="s">
        <v>83</v>
      </c>
      <c r="D147" s="60"/>
      <c r="E147"/>
      <c r="F147" s="48" t="e">
        <f t="shared" ref="F147:Q147" si="83">SUM(F130:F146)</f>
        <v>#REF!</v>
      </c>
      <c r="G147" s="48" t="e">
        <f t="shared" si="83"/>
        <v>#REF!</v>
      </c>
      <c r="H147" s="48" t="e">
        <f t="shared" si="83"/>
        <v>#REF!</v>
      </c>
      <c r="I147" s="48" t="e">
        <f t="shared" si="83"/>
        <v>#REF!</v>
      </c>
      <c r="J147" s="48" t="e">
        <f t="shared" si="83"/>
        <v>#REF!</v>
      </c>
      <c r="K147" s="48" t="e">
        <f t="shared" si="83"/>
        <v>#REF!</v>
      </c>
      <c r="L147" s="48" t="e">
        <f t="shared" si="83"/>
        <v>#REF!</v>
      </c>
      <c r="M147" s="48" t="e">
        <f t="shared" si="83"/>
        <v>#REF!</v>
      </c>
      <c r="N147" s="48" t="e">
        <f t="shared" si="83"/>
        <v>#REF!</v>
      </c>
      <c r="O147" s="48" t="e">
        <f t="shared" si="83"/>
        <v>#REF!</v>
      </c>
      <c r="P147" s="48" t="e">
        <f t="shared" si="83"/>
        <v>#REF!</v>
      </c>
      <c r="Q147" s="48" t="e">
        <f t="shared" si="83"/>
        <v>#REF!</v>
      </c>
    </row>
    <row r="148" spans="1:17" x14ac:dyDescent="0.25">
      <c r="A148">
        <v>850</v>
      </c>
      <c r="B148" s="18" t="s">
        <v>84</v>
      </c>
      <c r="C148" t="s">
        <v>302</v>
      </c>
      <c r="D148" s="84"/>
      <c r="E148"/>
      <c r="F148" s="59" t="e">
        <f t="shared" ref="F148:Q148" si="84">IF(F$169&gt;0,$D148*(1+F$9),0)</f>
        <v>#REF!</v>
      </c>
      <c r="G148" s="59" t="e">
        <f t="shared" si="84"/>
        <v>#REF!</v>
      </c>
      <c r="H148" s="59" t="e">
        <f t="shared" si="84"/>
        <v>#REF!</v>
      </c>
      <c r="I148" s="59" t="e">
        <f t="shared" si="84"/>
        <v>#REF!</v>
      </c>
      <c r="J148" s="59" t="e">
        <f t="shared" si="84"/>
        <v>#REF!</v>
      </c>
      <c r="K148" s="59" t="e">
        <f t="shared" si="84"/>
        <v>#REF!</v>
      </c>
      <c r="L148" s="59" t="e">
        <f t="shared" si="84"/>
        <v>#REF!</v>
      </c>
      <c r="M148" s="59" t="e">
        <f t="shared" si="84"/>
        <v>#REF!</v>
      </c>
      <c r="N148" s="59" t="e">
        <f t="shared" si="84"/>
        <v>#REF!</v>
      </c>
      <c r="O148" s="59" t="e">
        <f t="shared" si="84"/>
        <v>#REF!</v>
      </c>
      <c r="P148" s="59" t="e">
        <f t="shared" si="84"/>
        <v>#REF!</v>
      </c>
      <c r="Q148" s="59" t="e">
        <f t="shared" si="84"/>
        <v>#REF!</v>
      </c>
    </row>
    <row r="149" spans="1:17" x14ac:dyDescent="0.25">
      <c r="A149">
        <v>900</v>
      </c>
      <c r="B149" s="18" t="s">
        <v>85</v>
      </c>
      <c r="E149"/>
    </row>
    <row r="150" spans="1:17" x14ac:dyDescent="0.25">
      <c r="A150">
        <v>950</v>
      </c>
      <c r="B150" s="18" t="s">
        <v>86</v>
      </c>
      <c r="E150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x14ac:dyDescent="0.25">
      <c r="A151"/>
      <c r="B151" s="18" t="s">
        <v>216</v>
      </c>
      <c r="E151"/>
      <c r="F151" s="103" t="e">
        <f t="shared" ref="F151:Q151" si="85">F60+F66+F75+F80+F84+F91+F94+F105+F106+F107+F112+F123+F124+F125+F126+F127+F128+F129+F147+F148+F149+F150</f>
        <v>#REF!</v>
      </c>
      <c r="G151" s="103" t="e">
        <f t="shared" si="85"/>
        <v>#REF!</v>
      </c>
      <c r="H151" s="103" t="e">
        <f t="shared" si="85"/>
        <v>#REF!</v>
      </c>
      <c r="I151" s="103" t="e">
        <f t="shared" si="85"/>
        <v>#REF!</v>
      </c>
      <c r="J151" s="103" t="e">
        <f t="shared" si="85"/>
        <v>#REF!</v>
      </c>
      <c r="K151" s="103" t="e">
        <f t="shared" si="85"/>
        <v>#REF!</v>
      </c>
      <c r="L151" s="103" t="e">
        <f t="shared" si="85"/>
        <v>#REF!</v>
      </c>
      <c r="M151" s="103" t="e">
        <f t="shared" si="85"/>
        <v>#REF!</v>
      </c>
      <c r="N151" s="103" t="e">
        <f t="shared" si="85"/>
        <v>#REF!</v>
      </c>
      <c r="O151" s="103" t="e">
        <f t="shared" si="85"/>
        <v>#REF!</v>
      </c>
      <c r="P151" s="103" t="e">
        <f t="shared" si="85"/>
        <v>#REF!</v>
      </c>
      <c r="Q151" s="103" t="e">
        <f t="shared" si="85"/>
        <v>#REF!</v>
      </c>
    </row>
    <row r="152" spans="1:17" ht="15.75" thickBot="1" x14ac:dyDescent="0.3">
      <c r="B152" s="18" t="s">
        <v>217</v>
      </c>
      <c r="E152" s="66"/>
      <c r="F152" s="132" t="e">
        <f>F53-F151</f>
        <v>#REF!</v>
      </c>
      <c r="G152" s="132" t="e">
        <f t="shared" ref="G152:Q152" si="86">G53-G151</f>
        <v>#REF!</v>
      </c>
      <c r="H152" s="132" t="e">
        <f t="shared" si="86"/>
        <v>#REF!</v>
      </c>
      <c r="I152" s="132" t="e">
        <f t="shared" si="86"/>
        <v>#REF!</v>
      </c>
      <c r="J152" s="132" t="e">
        <f t="shared" si="86"/>
        <v>#REF!</v>
      </c>
      <c r="K152" s="132" t="e">
        <f t="shared" si="86"/>
        <v>#REF!</v>
      </c>
      <c r="L152" s="132" t="e">
        <f t="shared" si="86"/>
        <v>#REF!</v>
      </c>
      <c r="M152" s="132" t="e">
        <f t="shared" si="86"/>
        <v>#REF!</v>
      </c>
      <c r="N152" s="132" t="e">
        <f t="shared" si="86"/>
        <v>#REF!</v>
      </c>
      <c r="O152" s="132" t="e">
        <f t="shared" si="86"/>
        <v>#REF!</v>
      </c>
      <c r="P152" s="132" t="e">
        <f t="shared" si="86"/>
        <v>#REF!</v>
      </c>
      <c r="Q152" s="132" t="e">
        <f t="shared" si="86"/>
        <v>#REF!</v>
      </c>
    </row>
    <row r="153" spans="1:17" ht="15.75" thickTop="1" x14ac:dyDescent="0.25"/>
    <row r="154" spans="1:17" x14ac:dyDescent="0.25">
      <c r="E154"/>
      <c r="F154" s="44"/>
    </row>
    <row r="155" spans="1:17" x14ac:dyDescent="0.25">
      <c r="A155" s="71" t="s">
        <v>43</v>
      </c>
      <c r="E155"/>
      <c r="F155" s="3" t="s">
        <v>0</v>
      </c>
      <c r="G155" s="21" t="s">
        <v>1</v>
      </c>
      <c r="H155" s="22" t="s">
        <v>2</v>
      </c>
      <c r="I155" s="3" t="s">
        <v>3</v>
      </c>
      <c r="J155" s="3" t="s">
        <v>4</v>
      </c>
      <c r="K155" s="4" t="s">
        <v>5</v>
      </c>
      <c r="L155" s="70" t="s">
        <v>61</v>
      </c>
      <c r="M155" s="70" t="s">
        <v>62</v>
      </c>
      <c r="N155" s="70" t="s">
        <v>63</v>
      </c>
      <c r="O155" s="70" t="s">
        <v>64</v>
      </c>
      <c r="P155" s="70" t="s">
        <v>65</v>
      </c>
      <c r="Q155" s="70" t="s">
        <v>66</v>
      </c>
    </row>
    <row r="156" spans="1:17" x14ac:dyDescent="0.25">
      <c r="A156" s="71"/>
      <c r="D156" s="43" t="s">
        <v>47</v>
      </c>
      <c r="E156"/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</row>
    <row r="157" spans="1:17" x14ac:dyDescent="0.25">
      <c r="A157" s="71"/>
      <c r="D157">
        <v>1</v>
      </c>
      <c r="E157"/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</row>
    <row r="158" spans="1:17" x14ac:dyDescent="0.25">
      <c r="A158" s="71"/>
      <c r="D158">
        <v>2</v>
      </c>
      <c r="E158"/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</row>
    <row r="159" spans="1:17" x14ac:dyDescent="0.25">
      <c r="A159" s="71"/>
      <c r="D159">
        <v>3</v>
      </c>
      <c r="E159"/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</row>
    <row r="160" spans="1:17" x14ac:dyDescent="0.25">
      <c r="A160" s="71"/>
      <c r="D160">
        <v>4</v>
      </c>
      <c r="E160"/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</row>
    <row r="161" spans="1:17" x14ac:dyDescent="0.25">
      <c r="D161">
        <v>5</v>
      </c>
      <c r="E161"/>
      <c r="F161" s="108" t="e">
        <f>Assumptions!#REF!</f>
        <v>#REF!</v>
      </c>
      <c r="G161" s="108" t="e">
        <f>Assumptions!#REF!</f>
        <v>#REF!</v>
      </c>
      <c r="H161" s="108" t="e">
        <f>Assumptions!#REF!</f>
        <v>#REF!</v>
      </c>
      <c r="I161" s="108" t="e">
        <f>Assumptions!#REF!</f>
        <v>#REF!</v>
      </c>
      <c r="J161" s="108" t="e">
        <f>Assumptions!#REF!</f>
        <v>#REF!</v>
      </c>
      <c r="K161" s="108" t="e">
        <f>Assumptions!#REF!</f>
        <v>#REF!</v>
      </c>
      <c r="L161" s="108" t="e">
        <f>Assumptions!#REF!</f>
        <v>#REF!</v>
      </c>
      <c r="M161" s="108" t="e">
        <f>Assumptions!#REF!</f>
        <v>#REF!</v>
      </c>
      <c r="N161" s="108" t="e">
        <f>Assumptions!#REF!</f>
        <v>#REF!</v>
      </c>
      <c r="O161" s="108" t="e">
        <f>Assumptions!#REF!</f>
        <v>#REF!</v>
      </c>
      <c r="P161" s="108" t="e">
        <f>Assumptions!#REF!</f>
        <v>#REF!</v>
      </c>
      <c r="Q161" s="108" t="e">
        <f>Assumptions!#REF!</f>
        <v>#REF!</v>
      </c>
    </row>
    <row r="162" spans="1:17" x14ac:dyDescent="0.25">
      <c r="D162">
        <v>6</v>
      </c>
      <c r="E162"/>
      <c r="F162" s="108" t="e">
        <f>Assumptions!#REF!</f>
        <v>#REF!</v>
      </c>
      <c r="G162" s="108" t="e">
        <f>Assumptions!#REF!</f>
        <v>#REF!</v>
      </c>
      <c r="H162" s="108" t="e">
        <f>Assumptions!#REF!</f>
        <v>#REF!</v>
      </c>
      <c r="I162" s="108" t="e">
        <f>Assumptions!#REF!</f>
        <v>#REF!</v>
      </c>
      <c r="J162" s="108" t="e">
        <f>Assumptions!#REF!</f>
        <v>#REF!</v>
      </c>
      <c r="K162" s="108" t="e">
        <f>Assumptions!#REF!</f>
        <v>#REF!</v>
      </c>
      <c r="L162" s="108" t="e">
        <f>Assumptions!#REF!</f>
        <v>#REF!</v>
      </c>
      <c r="M162" s="108" t="e">
        <f>Assumptions!#REF!</f>
        <v>#REF!</v>
      </c>
      <c r="N162" s="108" t="e">
        <f>Assumptions!#REF!</f>
        <v>#REF!</v>
      </c>
      <c r="O162" s="108" t="e">
        <f>Assumptions!#REF!</f>
        <v>#REF!</v>
      </c>
      <c r="P162" s="108" t="e">
        <f>Assumptions!#REF!</f>
        <v>#REF!</v>
      </c>
      <c r="Q162" s="108" t="e">
        <f>Assumptions!#REF!</f>
        <v>#REF!</v>
      </c>
    </row>
    <row r="163" spans="1:17" x14ac:dyDescent="0.25">
      <c r="D163">
        <v>7</v>
      </c>
      <c r="E163"/>
      <c r="F163" s="108" t="e">
        <f>Assumptions!#REF!</f>
        <v>#REF!</v>
      </c>
      <c r="G163" s="108" t="e">
        <f>Assumptions!#REF!</f>
        <v>#REF!</v>
      </c>
      <c r="H163" s="108" t="e">
        <f>Assumptions!#REF!</f>
        <v>#REF!</v>
      </c>
      <c r="I163" s="108" t="e">
        <f>Assumptions!#REF!</f>
        <v>#REF!</v>
      </c>
      <c r="J163" s="108" t="e">
        <f>Assumptions!#REF!</f>
        <v>#REF!</v>
      </c>
      <c r="K163" s="108" t="e">
        <f>Assumptions!#REF!</f>
        <v>#REF!</v>
      </c>
      <c r="L163" s="108" t="e">
        <f>Assumptions!#REF!</f>
        <v>#REF!</v>
      </c>
      <c r="M163" s="108" t="e">
        <f>Assumptions!#REF!</f>
        <v>#REF!</v>
      </c>
      <c r="N163" s="108" t="e">
        <f>Assumptions!#REF!</f>
        <v>#REF!</v>
      </c>
      <c r="O163" s="108" t="e">
        <f>Assumptions!#REF!</f>
        <v>#REF!</v>
      </c>
      <c r="P163" s="108" t="e">
        <f>Assumptions!#REF!</f>
        <v>#REF!</v>
      </c>
      <c r="Q163" s="108" t="e">
        <f>Assumptions!#REF!</f>
        <v>#REF!</v>
      </c>
    </row>
    <row r="164" spans="1:17" x14ac:dyDescent="0.25">
      <c r="D164">
        <v>8</v>
      </c>
      <c r="E164"/>
      <c r="F164" s="108" t="e">
        <f>Assumptions!#REF!</f>
        <v>#REF!</v>
      </c>
      <c r="G164" s="108" t="e">
        <f>Assumptions!#REF!</f>
        <v>#REF!</v>
      </c>
      <c r="H164" s="108" t="e">
        <f>Assumptions!#REF!</f>
        <v>#REF!</v>
      </c>
      <c r="I164" s="108" t="e">
        <f>Assumptions!#REF!</f>
        <v>#REF!</v>
      </c>
      <c r="J164" s="108" t="e">
        <f>Assumptions!#REF!</f>
        <v>#REF!</v>
      </c>
      <c r="K164" s="108" t="e">
        <f>Assumptions!#REF!</f>
        <v>#REF!</v>
      </c>
      <c r="L164" s="108" t="e">
        <f>Assumptions!#REF!</f>
        <v>#REF!</v>
      </c>
      <c r="M164" s="108" t="e">
        <f>Assumptions!#REF!</f>
        <v>#REF!</v>
      </c>
      <c r="N164" s="108" t="e">
        <f>Assumptions!#REF!</f>
        <v>#REF!</v>
      </c>
      <c r="O164" s="108" t="e">
        <f>Assumptions!#REF!</f>
        <v>#REF!</v>
      </c>
      <c r="P164" s="108" t="e">
        <f>Assumptions!#REF!</f>
        <v>#REF!</v>
      </c>
      <c r="Q164" s="108" t="e">
        <f>Assumptions!#REF!</f>
        <v>#REF!</v>
      </c>
    </row>
    <row r="165" spans="1:17" x14ac:dyDescent="0.25">
      <c r="D165">
        <v>9</v>
      </c>
      <c r="E165"/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8">
        <v>0</v>
      </c>
    </row>
    <row r="166" spans="1:17" x14ac:dyDescent="0.25">
      <c r="D166">
        <v>10</v>
      </c>
      <c r="E166"/>
      <c r="F166" s="108">
        <v>0</v>
      </c>
      <c r="G166" s="108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8">
        <v>0</v>
      </c>
    </row>
    <row r="167" spans="1:17" x14ac:dyDescent="0.25">
      <c r="D167">
        <v>11</v>
      </c>
      <c r="E167"/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08">
        <v>0</v>
      </c>
    </row>
    <row r="168" spans="1:17" x14ac:dyDescent="0.25">
      <c r="D168">
        <v>12</v>
      </c>
      <c r="E168"/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09">
        <v>0</v>
      </c>
      <c r="Q168" s="109">
        <v>0</v>
      </c>
    </row>
    <row r="169" spans="1:17" x14ac:dyDescent="0.25">
      <c r="E169"/>
      <c r="F169" t="e">
        <f>SUM(F156:F168)</f>
        <v>#REF!</v>
      </c>
      <c r="G169" t="e">
        <f t="shared" ref="G169:Q169" si="87">SUM(G156:G168)</f>
        <v>#REF!</v>
      </c>
      <c r="H169" t="e">
        <f t="shared" si="87"/>
        <v>#REF!</v>
      </c>
      <c r="I169" t="e">
        <f t="shared" si="87"/>
        <v>#REF!</v>
      </c>
      <c r="J169" t="e">
        <f t="shared" si="87"/>
        <v>#REF!</v>
      </c>
      <c r="K169" t="e">
        <f t="shared" si="87"/>
        <v>#REF!</v>
      </c>
      <c r="L169" t="e">
        <f t="shared" si="87"/>
        <v>#REF!</v>
      </c>
      <c r="M169" t="e">
        <f t="shared" si="87"/>
        <v>#REF!</v>
      </c>
      <c r="N169" t="e">
        <f t="shared" si="87"/>
        <v>#REF!</v>
      </c>
      <c r="O169" t="e">
        <f t="shared" si="87"/>
        <v>#REF!</v>
      </c>
      <c r="P169" t="e">
        <f t="shared" si="87"/>
        <v>#REF!</v>
      </c>
      <c r="Q169" t="e">
        <f t="shared" si="87"/>
        <v>#REF!</v>
      </c>
    </row>
    <row r="170" spans="1:17" x14ac:dyDescent="0.25">
      <c r="D170" t="s">
        <v>249</v>
      </c>
      <c r="E170"/>
      <c r="F170" t="e">
        <f>(SUM(F156:F164)*0.5)/20</f>
        <v>#REF!</v>
      </c>
      <c r="G170" t="e">
        <f t="shared" ref="G170:Q170" si="88">(SUM(G156:G164)*0.5)/20</f>
        <v>#REF!</v>
      </c>
      <c r="H170" t="e">
        <f t="shared" si="88"/>
        <v>#REF!</v>
      </c>
      <c r="I170" t="e">
        <f t="shared" si="88"/>
        <v>#REF!</v>
      </c>
      <c r="J170" t="e">
        <f t="shared" si="88"/>
        <v>#REF!</v>
      </c>
      <c r="K170" t="e">
        <f t="shared" si="88"/>
        <v>#REF!</v>
      </c>
      <c r="L170" t="e">
        <f t="shared" si="88"/>
        <v>#REF!</v>
      </c>
      <c r="M170" t="e">
        <f t="shared" si="88"/>
        <v>#REF!</v>
      </c>
      <c r="N170" t="e">
        <f t="shared" si="88"/>
        <v>#REF!</v>
      </c>
      <c r="O170" t="e">
        <f t="shared" si="88"/>
        <v>#REF!</v>
      </c>
      <c r="P170" t="e">
        <f t="shared" si="88"/>
        <v>#REF!</v>
      </c>
      <c r="Q170" t="e">
        <f t="shared" si="88"/>
        <v>#REF!</v>
      </c>
    </row>
    <row r="171" spans="1:17" x14ac:dyDescent="0.25">
      <c r="D171" t="s">
        <v>93</v>
      </c>
      <c r="E171"/>
      <c r="F171">
        <f>COUNTIF(F156:F168,"&gt;1")</f>
        <v>0</v>
      </c>
      <c r="G171" s="110">
        <f>COUNTIF(G156:G168,"&gt;1")-COUNTIF(F156:F168,"&gt;1")</f>
        <v>0</v>
      </c>
      <c r="H171" s="110">
        <f>COUNTIF(H156:H168,"&gt;1")-COUNTIF(G156:G168,"&gt;1")</f>
        <v>0</v>
      </c>
      <c r="I171" s="48">
        <f>COUNTIF(I156:I168,"&gt;1")-COUNTIF(H156:H168,"&gt;1")</f>
        <v>0</v>
      </c>
      <c r="J171" s="48">
        <f>COUNTIF(J156:J168,"&gt;1")-COUNTIF(I156:I168,"&gt;1")</f>
        <v>0</v>
      </c>
      <c r="K171" s="48">
        <f>COUNTIF(K156:K168,"&gt;1")-COUNTIF(J156:J168,"&gt;1")</f>
        <v>0</v>
      </c>
      <c r="L171" s="48">
        <f t="shared" ref="L171:Q171" si="89">COUNTIF(L156:L168,"&gt;1")-COUNTIF(K156:K168,"&gt;1")</f>
        <v>0</v>
      </c>
      <c r="M171" s="48">
        <f t="shared" si="89"/>
        <v>0</v>
      </c>
      <c r="N171" s="48">
        <f t="shared" si="89"/>
        <v>0</v>
      </c>
      <c r="O171" s="48">
        <f t="shared" si="89"/>
        <v>0</v>
      </c>
      <c r="P171" s="48">
        <f t="shared" si="89"/>
        <v>0</v>
      </c>
      <c r="Q171" s="48">
        <f t="shared" si="89"/>
        <v>0</v>
      </c>
    </row>
    <row r="172" spans="1:17" x14ac:dyDescent="0.25">
      <c r="D172" t="s">
        <v>117</v>
      </c>
      <c r="E172" s="88">
        <v>0.1</v>
      </c>
      <c r="F172" t="e">
        <f t="shared" ref="F172:Q172" si="90">ROUNDUP(F$169*$E172,0)</f>
        <v>#REF!</v>
      </c>
      <c r="G172" t="e">
        <f t="shared" si="90"/>
        <v>#REF!</v>
      </c>
      <c r="H172" t="e">
        <f t="shared" si="90"/>
        <v>#REF!</v>
      </c>
      <c r="I172" t="e">
        <f t="shared" si="90"/>
        <v>#REF!</v>
      </c>
      <c r="J172" t="e">
        <f t="shared" si="90"/>
        <v>#REF!</v>
      </c>
      <c r="K172" t="e">
        <f t="shared" si="90"/>
        <v>#REF!</v>
      </c>
      <c r="L172" t="e">
        <f t="shared" si="90"/>
        <v>#REF!</v>
      </c>
      <c r="M172" t="e">
        <f t="shared" si="90"/>
        <v>#REF!</v>
      </c>
      <c r="N172" t="e">
        <f t="shared" si="90"/>
        <v>#REF!</v>
      </c>
      <c r="O172" t="e">
        <f t="shared" si="90"/>
        <v>#REF!</v>
      </c>
      <c r="P172" t="e">
        <f t="shared" si="90"/>
        <v>#REF!</v>
      </c>
      <c r="Q172" t="e">
        <f t="shared" si="90"/>
        <v>#REF!</v>
      </c>
    </row>
    <row r="173" spans="1:17" x14ac:dyDescent="0.25">
      <c r="D173" t="s">
        <v>220</v>
      </c>
      <c r="E173"/>
      <c r="F173" s="112">
        <f t="shared" ref="F173:Q173" si="91">ROUNDUP(SUM(F156:F160)/30,1)</f>
        <v>0</v>
      </c>
      <c r="G173" s="112">
        <f t="shared" si="91"/>
        <v>0</v>
      </c>
      <c r="H173" s="112">
        <f t="shared" si="91"/>
        <v>0</v>
      </c>
      <c r="I173" s="112">
        <f t="shared" si="91"/>
        <v>0</v>
      </c>
      <c r="J173" s="112">
        <f t="shared" si="91"/>
        <v>0</v>
      </c>
      <c r="K173" s="112">
        <f t="shared" si="91"/>
        <v>0</v>
      </c>
      <c r="L173" s="112">
        <f t="shared" si="91"/>
        <v>0</v>
      </c>
      <c r="M173" s="112">
        <f t="shared" si="91"/>
        <v>0</v>
      </c>
      <c r="N173" s="112">
        <f t="shared" si="91"/>
        <v>0</v>
      </c>
      <c r="O173" s="112">
        <f t="shared" si="91"/>
        <v>0</v>
      </c>
      <c r="P173" s="112">
        <f t="shared" si="91"/>
        <v>0</v>
      </c>
      <c r="Q173" s="112">
        <f t="shared" si="91"/>
        <v>0</v>
      </c>
    </row>
    <row r="174" spans="1:17" x14ac:dyDescent="0.25">
      <c r="D174" t="s">
        <v>221</v>
      </c>
      <c r="E174"/>
      <c r="F174" s="112" t="e">
        <f>ROUNDUP(SUM(F161:F164)/30,1)</f>
        <v>#REF!</v>
      </c>
      <c r="G174" s="112" t="e">
        <f t="shared" ref="G174:Q174" si="92">ROUNDUP(SUM(G161:G164)/30,1)</f>
        <v>#REF!</v>
      </c>
      <c r="H174" s="112" t="e">
        <f t="shared" si="92"/>
        <v>#REF!</v>
      </c>
      <c r="I174" s="112" t="e">
        <f t="shared" si="92"/>
        <v>#REF!</v>
      </c>
      <c r="J174" s="112" t="e">
        <f t="shared" si="92"/>
        <v>#REF!</v>
      </c>
      <c r="K174" s="112" t="e">
        <f t="shared" si="92"/>
        <v>#REF!</v>
      </c>
      <c r="L174" s="112" t="e">
        <f t="shared" si="92"/>
        <v>#REF!</v>
      </c>
      <c r="M174" s="112" t="e">
        <f t="shared" si="92"/>
        <v>#REF!</v>
      </c>
      <c r="N174" s="112" t="e">
        <f t="shared" si="92"/>
        <v>#REF!</v>
      </c>
      <c r="O174" s="112" t="e">
        <f t="shared" si="92"/>
        <v>#REF!</v>
      </c>
      <c r="P174" s="112" t="e">
        <f t="shared" si="92"/>
        <v>#REF!</v>
      </c>
      <c r="Q174" s="112" t="e">
        <f t="shared" si="92"/>
        <v>#REF!</v>
      </c>
    </row>
    <row r="175" spans="1:17" x14ac:dyDescent="0.25">
      <c r="E175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x14ac:dyDescent="0.25">
      <c r="A176" s="9" t="s">
        <v>6</v>
      </c>
      <c r="B176" s="1"/>
      <c r="C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8" x14ac:dyDescent="0.25">
      <c r="A177" s="7"/>
      <c r="B177" s="1"/>
      <c r="C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8" x14ac:dyDescent="0.25">
      <c r="A178" s="7" t="s">
        <v>7</v>
      </c>
      <c r="B178" s="1"/>
      <c r="C178" s="1"/>
      <c r="F178" s="23">
        <f>SUMIFS(F$188:F$312,$A$188:$A$312,1110)</f>
        <v>0</v>
      </c>
      <c r="G178" s="23">
        <f t="shared" ref="G178:Q178" si="93">SUMIFS(G$188:G$312,$A$188:$A$312,1110)</f>
        <v>0</v>
      </c>
      <c r="H178" s="23">
        <f t="shared" si="93"/>
        <v>0</v>
      </c>
      <c r="I178" s="23">
        <f t="shared" si="93"/>
        <v>0</v>
      </c>
      <c r="J178" s="23">
        <f t="shared" si="93"/>
        <v>0</v>
      </c>
      <c r="K178" s="23">
        <f t="shared" si="93"/>
        <v>0</v>
      </c>
      <c r="L178" s="23">
        <f t="shared" si="93"/>
        <v>0</v>
      </c>
      <c r="M178" s="23">
        <f t="shared" si="93"/>
        <v>0</v>
      </c>
      <c r="N178" s="23">
        <f t="shared" si="93"/>
        <v>4</v>
      </c>
      <c r="O178" s="23">
        <f t="shared" si="93"/>
        <v>6</v>
      </c>
      <c r="P178" s="23">
        <f t="shared" si="93"/>
        <v>8</v>
      </c>
      <c r="Q178" s="23">
        <f t="shared" si="93"/>
        <v>10</v>
      </c>
    </row>
    <row r="179" spans="1:18" x14ac:dyDescent="0.25">
      <c r="A179" s="7" t="s">
        <v>8</v>
      </c>
      <c r="B179" s="1"/>
      <c r="C179" s="1"/>
      <c r="F179" s="11">
        <f>COUNTIFS($A$188:$A$312,"1200",F$188:F$312,"&gt;0")</f>
        <v>0</v>
      </c>
      <c r="G179" s="11">
        <f t="shared" ref="G179:Q179" si="94">COUNTIFS($A$188:$A$312,"1200",G$188:G$312,"&gt;0")</f>
        <v>0</v>
      </c>
      <c r="H179" s="11">
        <f t="shared" si="94"/>
        <v>0</v>
      </c>
      <c r="I179" s="11">
        <f t="shared" si="94"/>
        <v>0</v>
      </c>
      <c r="J179" s="11">
        <f t="shared" si="94"/>
        <v>0</v>
      </c>
      <c r="K179" s="11">
        <f t="shared" si="94"/>
        <v>0</v>
      </c>
      <c r="L179" s="11">
        <f t="shared" si="94"/>
        <v>0</v>
      </c>
      <c r="M179" s="11">
        <f t="shared" si="94"/>
        <v>0</v>
      </c>
      <c r="N179" s="11">
        <f t="shared" si="94"/>
        <v>0</v>
      </c>
      <c r="O179" s="11">
        <f t="shared" si="94"/>
        <v>0</v>
      </c>
      <c r="P179" s="11">
        <f t="shared" si="94"/>
        <v>0</v>
      </c>
      <c r="Q179" s="11">
        <f t="shared" si="94"/>
        <v>0</v>
      </c>
    </row>
    <row r="180" spans="1:18" x14ac:dyDescent="0.25">
      <c r="A180" s="7" t="s">
        <v>9</v>
      </c>
      <c r="B180" s="1"/>
      <c r="C180" s="1"/>
      <c r="F180" s="2">
        <f>SUM(F178:F179)</f>
        <v>0</v>
      </c>
      <c r="G180" s="2">
        <f>SUM(G178:G179)</f>
        <v>0</v>
      </c>
      <c r="H180" s="2">
        <f>SUM(H178:H179)</f>
        <v>0</v>
      </c>
      <c r="I180" s="2">
        <f>SUM(I178:I179)</f>
        <v>0</v>
      </c>
      <c r="J180" s="2">
        <f>SUM(J178:J179)</f>
        <v>0</v>
      </c>
      <c r="K180" s="2">
        <f t="shared" ref="K180:Q180" si="95">SUM(K178:K179)</f>
        <v>0</v>
      </c>
      <c r="L180" s="2">
        <f t="shared" si="95"/>
        <v>0</v>
      </c>
      <c r="M180" s="2">
        <f t="shared" si="95"/>
        <v>0</v>
      </c>
      <c r="N180" s="2">
        <f t="shared" si="95"/>
        <v>4</v>
      </c>
      <c r="O180" s="2">
        <f t="shared" si="95"/>
        <v>6</v>
      </c>
      <c r="P180" s="2">
        <f t="shared" si="95"/>
        <v>8</v>
      </c>
      <c r="Q180" s="2">
        <f t="shared" si="95"/>
        <v>10</v>
      </c>
    </row>
    <row r="181" spans="1:18" x14ac:dyDescent="0.25">
      <c r="A181" s="7"/>
      <c r="B181" s="1"/>
      <c r="C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8" s="24" customFormat="1" x14ac:dyDescent="0.25">
      <c r="A182" s="25" t="s">
        <v>214</v>
      </c>
      <c r="E182" s="118"/>
      <c r="F182" s="23" t="e">
        <f>SUMIFS(F$188:F$312,$A$188:$A$312,2200)+SUMIFS(F$188:F$312,$A188:$A312,2900)</f>
        <v>#REF!</v>
      </c>
      <c r="G182" s="23" t="e">
        <f t="shared" ref="G182:Q182" si="96">SUMIFS(G$188:G$312,$A$188:$A$312,2200)+SUMIFS(G$188:G$312,$A188:$A312,2900)</f>
        <v>#REF!</v>
      </c>
      <c r="H182" s="23" t="e">
        <f t="shared" si="96"/>
        <v>#REF!</v>
      </c>
      <c r="I182" s="23" t="e">
        <f t="shared" si="96"/>
        <v>#REF!</v>
      </c>
      <c r="J182" s="23">
        <f t="shared" si="96"/>
        <v>0</v>
      </c>
      <c r="K182" s="23">
        <f t="shared" si="96"/>
        <v>0</v>
      </c>
      <c r="L182" s="23">
        <f t="shared" si="96"/>
        <v>0</v>
      </c>
      <c r="M182" s="23">
        <f t="shared" si="96"/>
        <v>0</v>
      </c>
      <c r="N182" s="23" t="e">
        <f t="shared" si="96"/>
        <v>#REF!</v>
      </c>
      <c r="O182" s="23" t="e">
        <f t="shared" si="96"/>
        <v>#REF!</v>
      </c>
      <c r="P182" s="23" t="e">
        <f t="shared" si="96"/>
        <v>#REF!</v>
      </c>
      <c r="Q182" s="23" t="e">
        <f t="shared" si="96"/>
        <v>#REF!</v>
      </c>
    </row>
    <row r="183" spans="1:18" s="24" customFormat="1" x14ac:dyDescent="0.25">
      <c r="A183" s="25" t="s">
        <v>10</v>
      </c>
      <c r="E183" s="118"/>
      <c r="F183" s="119" t="e">
        <f>+F313-F180-F182</f>
        <v>#REF!</v>
      </c>
      <c r="G183" s="119" t="e">
        <f t="shared" ref="G183:Q183" si="97">+G313-G180-G182</f>
        <v>#REF!</v>
      </c>
      <c r="H183" s="119" t="e">
        <f t="shared" si="97"/>
        <v>#REF!</v>
      </c>
      <c r="I183" s="119" t="e">
        <f t="shared" si="97"/>
        <v>#REF!</v>
      </c>
      <c r="J183" s="119" t="e">
        <f t="shared" si="97"/>
        <v>#REF!</v>
      </c>
      <c r="K183" s="119" t="e">
        <f t="shared" si="97"/>
        <v>#REF!</v>
      </c>
      <c r="L183" s="119" t="e">
        <f t="shared" si="97"/>
        <v>#REF!</v>
      </c>
      <c r="M183" s="119" t="e">
        <f t="shared" si="97"/>
        <v>#REF!</v>
      </c>
      <c r="N183" s="119" t="e">
        <f t="shared" si="97"/>
        <v>#REF!</v>
      </c>
      <c r="O183" s="119" t="e">
        <f t="shared" si="97"/>
        <v>#REF!</v>
      </c>
      <c r="P183" s="119" t="e">
        <f t="shared" si="97"/>
        <v>#REF!</v>
      </c>
      <c r="Q183" s="119" t="e">
        <f t="shared" si="97"/>
        <v>#REF!</v>
      </c>
    </row>
    <row r="184" spans="1:18" s="24" customFormat="1" x14ac:dyDescent="0.25">
      <c r="A184" s="120" t="s">
        <v>11</v>
      </c>
      <c r="E184" s="118"/>
      <c r="F184" s="23" t="e">
        <f>SUM(F180:F183)</f>
        <v>#REF!</v>
      </c>
      <c r="G184" s="23" t="e">
        <f t="shared" ref="G184:Q184" si="98">SUM(G180:G183)</f>
        <v>#REF!</v>
      </c>
      <c r="H184" s="23" t="e">
        <f t="shared" si="98"/>
        <v>#REF!</v>
      </c>
      <c r="I184" s="23" t="e">
        <f t="shared" si="98"/>
        <v>#REF!</v>
      </c>
      <c r="J184" s="23" t="e">
        <f t="shared" si="98"/>
        <v>#REF!</v>
      </c>
      <c r="K184" s="23" t="e">
        <f t="shared" si="98"/>
        <v>#REF!</v>
      </c>
      <c r="L184" s="23" t="e">
        <f t="shared" si="98"/>
        <v>#REF!</v>
      </c>
      <c r="M184" s="23" t="e">
        <f t="shared" si="98"/>
        <v>#REF!</v>
      </c>
      <c r="N184" s="23" t="e">
        <f t="shared" si="98"/>
        <v>#REF!</v>
      </c>
      <c r="O184" s="23" t="e">
        <f t="shared" si="98"/>
        <v>#REF!</v>
      </c>
      <c r="P184" s="23" t="e">
        <f t="shared" si="98"/>
        <v>#REF!</v>
      </c>
      <c r="Q184" s="23" t="e">
        <f t="shared" si="98"/>
        <v>#REF!</v>
      </c>
    </row>
    <row r="185" spans="1:18" x14ac:dyDescent="0.25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x14ac:dyDescent="0.25">
      <c r="E18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8" x14ac:dyDescent="0.25">
      <c r="A187" s="71" t="s">
        <v>71</v>
      </c>
      <c r="D187" s="47"/>
      <c r="E187"/>
      <c r="F187" s="3" t="s">
        <v>0</v>
      </c>
      <c r="G187" s="21" t="s">
        <v>1</v>
      </c>
      <c r="H187" s="22" t="s">
        <v>2</v>
      </c>
      <c r="I187" s="3" t="s">
        <v>3</v>
      </c>
      <c r="J187" s="3" t="s">
        <v>4</v>
      </c>
      <c r="K187" s="4" t="s">
        <v>5</v>
      </c>
      <c r="L187" s="70" t="s">
        <v>61</v>
      </c>
      <c r="M187" s="70" t="s">
        <v>62</v>
      </c>
      <c r="N187" s="70" t="s">
        <v>63</v>
      </c>
      <c r="O187" s="70" t="s">
        <v>64</v>
      </c>
      <c r="P187" s="70" t="s">
        <v>65</v>
      </c>
      <c r="Q187" s="70" t="s">
        <v>66</v>
      </c>
    </row>
    <row r="188" spans="1:18" x14ac:dyDescent="0.25">
      <c r="A188" s="37">
        <v>1300</v>
      </c>
      <c r="B188" s="7" t="s">
        <v>222</v>
      </c>
      <c r="D188" s="89">
        <v>75000</v>
      </c>
      <c r="E188"/>
      <c r="F188" s="36">
        <f t="shared" ref="F188:Q188" si="99">IF(SUM(F$156:F$160)&gt;1,1,0)</f>
        <v>0</v>
      </c>
      <c r="G188" s="36">
        <f t="shared" si="99"/>
        <v>0</v>
      </c>
      <c r="H188" s="36">
        <f t="shared" si="99"/>
        <v>0</v>
      </c>
      <c r="I188" s="36">
        <f t="shared" si="99"/>
        <v>0</v>
      </c>
      <c r="J188" s="36">
        <f t="shared" si="99"/>
        <v>0</v>
      </c>
      <c r="K188" s="36">
        <f t="shared" si="99"/>
        <v>0</v>
      </c>
      <c r="L188" s="36">
        <f t="shared" si="99"/>
        <v>0</v>
      </c>
      <c r="M188" s="36">
        <f t="shared" si="99"/>
        <v>0</v>
      </c>
      <c r="N188" s="36">
        <f t="shared" si="99"/>
        <v>0</v>
      </c>
      <c r="O188" s="36">
        <f t="shared" si="99"/>
        <v>0</v>
      </c>
      <c r="P188" s="36">
        <f t="shared" si="99"/>
        <v>0</v>
      </c>
      <c r="Q188" s="36">
        <f t="shared" si="99"/>
        <v>0</v>
      </c>
    </row>
    <row r="189" spans="1:18" x14ac:dyDescent="0.25">
      <c r="A189" s="37">
        <v>1300</v>
      </c>
      <c r="B189" s="7" t="s">
        <v>218</v>
      </c>
      <c r="D189" s="89">
        <v>75000</v>
      </c>
      <c r="E189"/>
      <c r="F189" s="36" t="e">
        <f t="shared" ref="F189:Q189" si="100">IF(SUM(F$161:F$164)&gt;1,1,0)</f>
        <v>#REF!</v>
      </c>
      <c r="G189" s="36" t="e">
        <f t="shared" si="100"/>
        <v>#REF!</v>
      </c>
      <c r="H189" s="36" t="e">
        <f t="shared" si="100"/>
        <v>#REF!</v>
      </c>
      <c r="I189" s="36" t="e">
        <f t="shared" si="100"/>
        <v>#REF!</v>
      </c>
      <c r="J189" s="36" t="e">
        <f t="shared" si="100"/>
        <v>#REF!</v>
      </c>
      <c r="K189" s="36" t="e">
        <f t="shared" si="100"/>
        <v>#REF!</v>
      </c>
      <c r="L189" s="36" t="e">
        <f t="shared" si="100"/>
        <v>#REF!</v>
      </c>
      <c r="M189" s="36" t="e">
        <f t="shared" si="100"/>
        <v>#REF!</v>
      </c>
      <c r="N189" s="36" t="e">
        <f t="shared" si="100"/>
        <v>#REF!</v>
      </c>
      <c r="O189" s="36" t="e">
        <f t="shared" si="100"/>
        <v>#REF!</v>
      </c>
      <c r="P189" s="36" t="e">
        <f t="shared" si="100"/>
        <v>#REF!</v>
      </c>
      <c r="Q189" s="36" t="e">
        <f t="shared" si="100"/>
        <v>#REF!</v>
      </c>
    </row>
    <row r="190" spans="1:18" x14ac:dyDescent="0.25">
      <c r="A190" s="37">
        <v>1300</v>
      </c>
      <c r="B190" s="7" t="s">
        <v>219</v>
      </c>
      <c r="D190" s="89">
        <v>75000</v>
      </c>
      <c r="E190"/>
      <c r="F190" s="36">
        <f t="shared" ref="F190:Q190" si="101">IF(SUM(F$165:F$168)&gt;1,1,0)</f>
        <v>0</v>
      </c>
      <c r="G190" s="36">
        <f t="shared" si="101"/>
        <v>0</v>
      </c>
      <c r="H190" s="36">
        <f t="shared" si="101"/>
        <v>0</v>
      </c>
      <c r="I190" s="36">
        <f t="shared" si="101"/>
        <v>0</v>
      </c>
      <c r="J190" s="36">
        <f t="shared" si="101"/>
        <v>0</v>
      </c>
      <c r="K190" s="36">
        <f t="shared" si="101"/>
        <v>0</v>
      </c>
      <c r="L190" s="36">
        <f t="shared" si="101"/>
        <v>0</v>
      </c>
      <c r="M190" s="36">
        <f t="shared" si="101"/>
        <v>0</v>
      </c>
      <c r="N190" s="36">
        <f t="shared" si="101"/>
        <v>0</v>
      </c>
      <c r="O190" s="36">
        <f t="shared" si="101"/>
        <v>0</v>
      </c>
      <c r="P190" s="36">
        <f t="shared" si="101"/>
        <v>0</v>
      </c>
      <c r="Q190" s="36">
        <f t="shared" si="101"/>
        <v>0</v>
      </c>
    </row>
    <row r="191" spans="1:18" x14ac:dyDescent="0.25">
      <c r="A191" s="37">
        <v>2300</v>
      </c>
      <c r="B191" s="7" t="s">
        <v>229</v>
      </c>
      <c r="D191" s="89">
        <v>60000</v>
      </c>
      <c r="E191"/>
      <c r="F191" s="36">
        <f t="shared" ref="F191:Q191" si="102">IF(SUM(F$156:F$160)&gt;1,1,0)</f>
        <v>0</v>
      </c>
      <c r="G191" s="36">
        <f t="shared" si="102"/>
        <v>0</v>
      </c>
      <c r="H191" s="36">
        <f t="shared" si="102"/>
        <v>0</v>
      </c>
      <c r="I191" s="36">
        <f t="shared" si="102"/>
        <v>0</v>
      </c>
      <c r="J191" s="36">
        <f t="shared" si="102"/>
        <v>0</v>
      </c>
      <c r="K191" s="36">
        <f t="shared" si="102"/>
        <v>0</v>
      </c>
      <c r="L191" s="36">
        <f t="shared" si="102"/>
        <v>0</v>
      </c>
      <c r="M191" s="36">
        <f t="shared" si="102"/>
        <v>0</v>
      </c>
      <c r="N191" s="36">
        <f t="shared" si="102"/>
        <v>0</v>
      </c>
      <c r="O191" s="36">
        <f t="shared" si="102"/>
        <v>0</v>
      </c>
      <c r="P191" s="36">
        <f t="shared" si="102"/>
        <v>0</v>
      </c>
      <c r="Q191" s="36">
        <f t="shared" si="102"/>
        <v>0</v>
      </c>
    </row>
    <row r="192" spans="1:18" x14ac:dyDescent="0.25">
      <c r="A192" s="37">
        <v>2300</v>
      </c>
      <c r="B192" s="7" t="s">
        <v>230</v>
      </c>
      <c r="D192" s="89">
        <v>60000</v>
      </c>
      <c r="E192"/>
      <c r="F192" s="36" t="e">
        <f t="shared" ref="F192:Q192" si="103">IF(SUM(F$161:F$164)&gt;1,1,0)</f>
        <v>#REF!</v>
      </c>
      <c r="G192" s="36" t="e">
        <f t="shared" si="103"/>
        <v>#REF!</v>
      </c>
      <c r="H192" s="36" t="e">
        <f t="shared" si="103"/>
        <v>#REF!</v>
      </c>
      <c r="I192" s="36" t="e">
        <f t="shared" si="103"/>
        <v>#REF!</v>
      </c>
      <c r="J192" s="36" t="e">
        <f t="shared" si="103"/>
        <v>#REF!</v>
      </c>
      <c r="K192" s="36" t="e">
        <f t="shared" si="103"/>
        <v>#REF!</v>
      </c>
      <c r="L192" s="36" t="e">
        <f t="shared" si="103"/>
        <v>#REF!</v>
      </c>
      <c r="M192" s="36" t="e">
        <f t="shared" si="103"/>
        <v>#REF!</v>
      </c>
      <c r="N192" s="36" t="e">
        <f t="shared" si="103"/>
        <v>#REF!</v>
      </c>
      <c r="O192" s="36" t="e">
        <f t="shared" si="103"/>
        <v>#REF!</v>
      </c>
      <c r="P192" s="36" t="e">
        <f t="shared" si="103"/>
        <v>#REF!</v>
      </c>
      <c r="Q192" s="36" t="e">
        <f t="shared" si="103"/>
        <v>#REF!</v>
      </c>
    </row>
    <row r="193" spans="1:17" x14ac:dyDescent="0.25">
      <c r="A193" s="37">
        <v>2300</v>
      </c>
      <c r="B193" s="7" t="s">
        <v>231</v>
      </c>
      <c r="D193" s="89">
        <v>60000</v>
      </c>
      <c r="E193"/>
      <c r="F193" s="36">
        <f t="shared" ref="F193:Q193" si="104">IF(SUM(F$165:F$168)&gt;1,1,0)</f>
        <v>0</v>
      </c>
      <c r="G193" s="36">
        <f t="shared" si="104"/>
        <v>0</v>
      </c>
      <c r="H193" s="36">
        <f t="shared" si="104"/>
        <v>0</v>
      </c>
      <c r="I193" s="36">
        <f t="shared" si="104"/>
        <v>0</v>
      </c>
      <c r="J193" s="36">
        <f t="shared" si="104"/>
        <v>0</v>
      </c>
      <c r="K193" s="36">
        <f t="shared" si="104"/>
        <v>0</v>
      </c>
      <c r="L193" s="36">
        <f t="shared" si="104"/>
        <v>0</v>
      </c>
      <c r="M193" s="36">
        <f t="shared" si="104"/>
        <v>0</v>
      </c>
      <c r="N193" s="36">
        <f t="shared" si="104"/>
        <v>0</v>
      </c>
      <c r="O193" s="36">
        <f t="shared" si="104"/>
        <v>0</v>
      </c>
      <c r="P193" s="36">
        <f t="shared" si="104"/>
        <v>0</v>
      </c>
      <c r="Q193" s="36">
        <f t="shared" si="104"/>
        <v>0</v>
      </c>
    </row>
    <row r="194" spans="1:17" x14ac:dyDescent="0.25">
      <c r="A194" s="37">
        <v>2400</v>
      </c>
      <c r="B194" s="13" t="s">
        <v>232</v>
      </c>
      <c r="D194" s="89">
        <v>35000</v>
      </c>
      <c r="E194"/>
      <c r="F194" s="36">
        <f t="shared" ref="F194:Q194" si="105">IF(SUM(F$156:F$160)&gt;1,1,0)</f>
        <v>0</v>
      </c>
      <c r="G194" s="36">
        <f t="shared" si="105"/>
        <v>0</v>
      </c>
      <c r="H194" s="36">
        <f t="shared" si="105"/>
        <v>0</v>
      </c>
      <c r="I194" s="36">
        <f t="shared" si="105"/>
        <v>0</v>
      </c>
      <c r="J194" s="36">
        <f t="shared" si="105"/>
        <v>0</v>
      </c>
      <c r="K194" s="36">
        <f t="shared" si="105"/>
        <v>0</v>
      </c>
      <c r="L194" s="36">
        <f t="shared" si="105"/>
        <v>0</v>
      </c>
      <c r="M194" s="36">
        <f t="shared" si="105"/>
        <v>0</v>
      </c>
      <c r="N194" s="36">
        <f t="shared" si="105"/>
        <v>0</v>
      </c>
      <c r="O194" s="36">
        <f t="shared" si="105"/>
        <v>0</v>
      </c>
      <c r="P194" s="36">
        <f t="shared" si="105"/>
        <v>0</v>
      </c>
      <c r="Q194" s="36">
        <f t="shared" si="105"/>
        <v>0</v>
      </c>
    </row>
    <row r="195" spans="1:17" x14ac:dyDescent="0.25">
      <c r="A195" s="37">
        <v>2400</v>
      </c>
      <c r="B195" s="13" t="s">
        <v>233</v>
      </c>
      <c r="D195" s="89">
        <v>35000</v>
      </c>
      <c r="E195"/>
      <c r="F195" s="36" t="e">
        <f t="shared" ref="F195:Q195" si="106">IF(SUM(F$161:F$164)&gt;1,1,0)</f>
        <v>#REF!</v>
      </c>
      <c r="G195" s="36" t="e">
        <f t="shared" si="106"/>
        <v>#REF!</v>
      </c>
      <c r="H195" s="36" t="e">
        <f t="shared" si="106"/>
        <v>#REF!</v>
      </c>
      <c r="I195" s="36" t="e">
        <f t="shared" si="106"/>
        <v>#REF!</v>
      </c>
      <c r="J195" s="36" t="e">
        <f t="shared" si="106"/>
        <v>#REF!</v>
      </c>
      <c r="K195" s="36" t="e">
        <f t="shared" si="106"/>
        <v>#REF!</v>
      </c>
      <c r="L195" s="36" t="e">
        <f t="shared" si="106"/>
        <v>#REF!</v>
      </c>
      <c r="M195" s="36" t="e">
        <f t="shared" si="106"/>
        <v>#REF!</v>
      </c>
      <c r="N195" s="36" t="e">
        <f t="shared" si="106"/>
        <v>#REF!</v>
      </c>
      <c r="O195" s="36" t="e">
        <f t="shared" si="106"/>
        <v>#REF!</v>
      </c>
      <c r="P195" s="36" t="e">
        <f t="shared" si="106"/>
        <v>#REF!</v>
      </c>
      <c r="Q195" s="36" t="e">
        <f t="shared" si="106"/>
        <v>#REF!</v>
      </c>
    </row>
    <row r="196" spans="1:17" x14ac:dyDescent="0.25">
      <c r="A196" s="37">
        <v>2400</v>
      </c>
      <c r="B196" s="13" t="s">
        <v>234</v>
      </c>
      <c r="D196" s="89">
        <v>35000</v>
      </c>
      <c r="E196"/>
      <c r="F196" s="36">
        <f t="shared" ref="F196:Q196" si="107">IF(SUM(F$165:F$168)&gt;1,1,0)</f>
        <v>0</v>
      </c>
      <c r="G196" s="36">
        <f t="shared" si="107"/>
        <v>0</v>
      </c>
      <c r="H196" s="36">
        <f t="shared" si="107"/>
        <v>0</v>
      </c>
      <c r="I196" s="36">
        <f t="shared" si="107"/>
        <v>0</v>
      </c>
      <c r="J196" s="36">
        <f t="shared" si="107"/>
        <v>0</v>
      </c>
      <c r="K196" s="36">
        <f t="shared" si="107"/>
        <v>0</v>
      </c>
      <c r="L196" s="36">
        <f t="shared" si="107"/>
        <v>0</v>
      </c>
      <c r="M196" s="36">
        <f t="shared" si="107"/>
        <v>0</v>
      </c>
      <c r="N196" s="36">
        <f t="shared" si="107"/>
        <v>0</v>
      </c>
      <c r="O196" s="36">
        <f t="shared" si="107"/>
        <v>0</v>
      </c>
      <c r="P196" s="36">
        <f t="shared" si="107"/>
        <v>0</v>
      </c>
      <c r="Q196" s="36">
        <f t="shared" si="107"/>
        <v>0</v>
      </c>
    </row>
    <row r="197" spans="1:17" x14ac:dyDescent="0.25">
      <c r="A197" s="37">
        <v>2400</v>
      </c>
      <c r="B197" s="13" t="s">
        <v>235</v>
      </c>
      <c r="D197" s="89">
        <v>45000</v>
      </c>
      <c r="E197"/>
      <c r="F197" s="36">
        <f t="shared" ref="F197:Q197" si="108">IF(SUM(F$156:F$160)&gt;1,1,0)</f>
        <v>0</v>
      </c>
      <c r="G197" s="36">
        <f t="shared" si="108"/>
        <v>0</v>
      </c>
      <c r="H197" s="36">
        <f t="shared" si="108"/>
        <v>0</v>
      </c>
      <c r="I197" s="36">
        <f t="shared" si="108"/>
        <v>0</v>
      </c>
      <c r="J197" s="36">
        <f t="shared" si="108"/>
        <v>0</v>
      </c>
      <c r="K197" s="36">
        <f t="shared" si="108"/>
        <v>0</v>
      </c>
      <c r="L197" s="36">
        <f t="shared" si="108"/>
        <v>0</v>
      </c>
      <c r="M197" s="36">
        <f t="shared" si="108"/>
        <v>0</v>
      </c>
      <c r="N197" s="36">
        <f t="shared" si="108"/>
        <v>0</v>
      </c>
      <c r="O197" s="36">
        <f t="shared" si="108"/>
        <v>0</v>
      </c>
      <c r="P197" s="36">
        <f t="shared" si="108"/>
        <v>0</v>
      </c>
      <c r="Q197" s="36">
        <f t="shared" si="108"/>
        <v>0</v>
      </c>
    </row>
    <row r="198" spans="1:17" x14ac:dyDescent="0.25">
      <c r="A198" s="37">
        <v>2400</v>
      </c>
      <c r="B198" s="13" t="s">
        <v>223</v>
      </c>
      <c r="D198" s="89">
        <v>45000</v>
      </c>
      <c r="E198"/>
      <c r="F198" s="36" t="e">
        <f t="shared" ref="F198:Q198" si="109">IF(SUM(F$161:F$164)&gt;1,1,0)</f>
        <v>#REF!</v>
      </c>
      <c r="G198" s="36" t="e">
        <f t="shared" si="109"/>
        <v>#REF!</v>
      </c>
      <c r="H198" s="36" t="e">
        <f t="shared" si="109"/>
        <v>#REF!</v>
      </c>
      <c r="I198" s="36" t="e">
        <f t="shared" si="109"/>
        <v>#REF!</v>
      </c>
      <c r="J198" s="36" t="e">
        <f t="shared" si="109"/>
        <v>#REF!</v>
      </c>
      <c r="K198" s="36" t="e">
        <f t="shared" si="109"/>
        <v>#REF!</v>
      </c>
      <c r="L198" s="36" t="e">
        <f t="shared" si="109"/>
        <v>#REF!</v>
      </c>
      <c r="M198" s="36" t="e">
        <f t="shared" si="109"/>
        <v>#REF!</v>
      </c>
      <c r="N198" s="36" t="e">
        <f t="shared" si="109"/>
        <v>#REF!</v>
      </c>
      <c r="O198" s="36" t="e">
        <f t="shared" si="109"/>
        <v>#REF!</v>
      </c>
      <c r="P198" s="36" t="e">
        <f t="shared" si="109"/>
        <v>#REF!</v>
      </c>
      <c r="Q198" s="36" t="e">
        <f t="shared" si="109"/>
        <v>#REF!</v>
      </c>
    </row>
    <row r="199" spans="1:17" x14ac:dyDescent="0.25">
      <c r="A199" s="37">
        <v>2400</v>
      </c>
      <c r="B199" s="13" t="s">
        <v>236</v>
      </c>
      <c r="D199" s="89">
        <v>45000</v>
      </c>
      <c r="E199"/>
      <c r="F199" s="36">
        <f t="shared" ref="F199:Q199" si="110">IF(SUM(F$165:F$168)&gt;1,1,0)</f>
        <v>0</v>
      </c>
      <c r="G199" s="36">
        <f t="shared" si="110"/>
        <v>0</v>
      </c>
      <c r="H199" s="36">
        <f t="shared" si="110"/>
        <v>0</v>
      </c>
      <c r="I199" s="36">
        <f t="shared" si="110"/>
        <v>0</v>
      </c>
      <c r="J199" s="36">
        <f t="shared" si="110"/>
        <v>0</v>
      </c>
      <c r="K199" s="36">
        <f t="shared" si="110"/>
        <v>0</v>
      </c>
      <c r="L199" s="36">
        <f t="shared" si="110"/>
        <v>0</v>
      </c>
      <c r="M199" s="36">
        <f t="shared" si="110"/>
        <v>0</v>
      </c>
      <c r="N199" s="36">
        <f t="shared" si="110"/>
        <v>0</v>
      </c>
      <c r="O199" s="36">
        <f t="shared" si="110"/>
        <v>0</v>
      </c>
      <c r="P199" s="36">
        <f t="shared" si="110"/>
        <v>0</v>
      </c>
      <c r="Q199" s="36">
        <f t="shared" si="110"/>
        <v>0</v>
      </c>
    </row>
    <row r="200" spans="1:17" x14ac:dyDescent="0.25">
      <c r="A200" s="113">
        <v>2400</v>
      </c>
      <c r="B200" s="13" t="s">
        <v>237</v>
      </c>
      <c r="D200" s="89">
        <v>60000</v>
      </c>
      <c r="E200"/>
      <c r="F200" s="36">
        <f t="shared" ref="F200:Q200" si="111">IF(SUM(F$156:F$160)&gt;1,1,0)</f>
        <v>0</v>
      </c>
      <c r="G200" s="36">
        <f t="shared" si="111"/>
        <v>0</v>
      </c>
      <c r="H200" s="36">
        <f t="shared" si="111"/>
        <v>0</v>
      </c>
      <c r="I200" s="36">
        <f t="shared" si="111"/>
        <v>0</v>
      </c>
      <c r="J200" s="36">
        <f t="shared" si="111"/>
        <v>0</v>
      </c>
      <c r="K200" s="36">
        <f t="shared" si="111"/>
        <v>0</v>
      </c>
      <c r="L200" s="36">
        <f t="shared" si="111"/>
        <v>0</v>
      </c>
      <c r="M200" s="36">
        <f t="shared" si="111"/>
        <v>0</v>
      </c>
      <c r="N200" s="36">
        <f t="shared" si="111"/>
        <v>0</v>
      </c>
      <c r="O200" s="36">
        <f t="shared" si="111"/>
        <v>0</v>
      </c>
      <c r="P200" s="36">
        <f t="shared" si="111"/>
        <v>0</v>
      </c>
      <c r="Q200" s="36">
        <f t="shared" si="111"/>
        <v>0</v>
      </c>
    </row>
    <row r="201" spans="1:17" x14ac:dyDescent="0.25">
      <c r="A201" s="113">
        <v>2400</v>
      </c>
      <c r="B201" s="13" t="s">
        <v>238</v>
      </c>
      <c r="D201" s="89">
        <v>60000</v>
      </c>
      <c r="E201"/>
      <c r="F201" s="36" t="e">
        <f t="shared" ref="F201:Q201" si="112">IF(SUM(F$161:F$164)&gt;1,1,0)</f>
        <v>#REF!</v>
      </c>
      <c r="G201" s="36" t="e">
        <f t="shared" si="112"/>
        <v>#REF!</v>
      </c>
      <c r="H201" s="36" t="e">
        <f t="shared" si="112"/>
        <v>#REF!</v>
      </c>
      <c r="I201" s="36" t="e">
        <f t="shared" si="112"/>
        <v>#REF!</v>
      </c>
      <c r="J201" s="36" t="e">
        <f t="shared" si="112"/>
        <v>#REF!</v>
      </c>
      <c r="K201" s="36" t="e">
        <f t="shared" si="112"/>
        <v>#REF!</v>
      </c>
      <c r="L201" s="36" t="e">
        <f t="shared" si="112"/>
        <v>#REF!</v>
      </c>
      <c r="M201" s="36" t="e">
        <f t="shared" si="112"/>
        <v>#REF!</v>
      </c>
      <c r="N201" s="36" t="e">
        <f t="shared" si="112"/>
        <v>#REF!</v>
      </c>
      <c r="O201" s="36" t="e">
        <f t="shared" si="112"/>
        <v>#REF!</v>
      </c>
      <c r="P201" s="36" t="e">
        <f t="shared" si="112"/>
        <v>#REF!</v>
      </c>
      <c r="Q201" s="36" t="e">
        <f t="shared" si="112"/>
        <v>#REF!</v>
      </c>
    </row>
    <row r="202" spans="1:17" x14ac:dyDescent="0.25">
      <c r="A202" s="113">
        <v>2400</v>
      </c>
      <c r="B202" s="13" t="s">
        <v>239</v>
      </c>
      <c r="D202" s="89">
        <v>60000</v>
      </c>
      <c r="E202"/>
      <c r="F202" s="36">
        <f t="shared" ref="F202:Q202" si="113">IF(SUM(F$165:F$168)&gt;1,1,0)</f>
        <v>0</v>
      </c>
      <c r="G202" s="36">
        <f t="shared" si="113"/>
        <v>0</v>
      </c>
      <c r="H202" s="36">
        <f t="shared" si="113"/>
        <v>0</v>
      </c>
      <c r="I202" s="36">
        <f t="shared" si="113"/>
        <v>0</v>
      </c>
      <c r="J202" s="36">
        <f t="shared" si="113"/>
        <v>0</v>
      </c>
      <c r="K202" s="36">
        <f t="shared" si="113"/>
        <v>0</v>
      </c>
      <c r="L202" s="36">
        <f t="shared" si="113"/>
        <v>0</v>
      </c>
      <c r="M202" s="36">
        <f t="shared" si="113"/>
        <v>0</v>
      </c>
      <c r="N202" s="36">
        <f t="shared" si="113"/>
        <v>0</v>
      </c>
      <c r="O202" s="36">
        <f t="shared" si="113"/>
        <v>0</v>
      </c>
      <c r="P202" s="36">
        <f t="shared" si="113"/>
        <v>0</v>
      </c>
      <c r="Q202" s="36">
        <f t="shared" si="113"/>
        <v>0</v>
      </c>
    </row>
    <row r="203" spans="1:17" x14ac:dyDescent="0.25">
      <c r="A203" s="37">
        <v>2400</v>
      </c>
      <c r="B203" s="13" t="s">
        <v>224</v>
      </c>
      <c r="D203" s="89">
        <v>25000</v>
      </c>
      <c r="E203"/>
      <c r="F203" s="36">
        <f t="shared" ref="F203:Q203" si="114">IF(SUM(F$156:F$160)&gt;1,1,0)</f>
        <v>0</v>
      </c>
      <c r="G203" s="36">
        <f t="shared" si="114"/>
        <v>0</v>
      </c>
      <c r="H203" s="36">
        <f t="shared" si="114"/>
        <v>0</v>
      </c>
      <c r="I203" s="36">
        <f t="shared" si="114"/>
        <v>0</v>
      </c>
      <c r="J203" s="36">
        <f t="shared" si="114"/>
        <v>0</v>
      </c>
      <c r="K203" s="36">
        <f t="shared" si="114"/>
        <v>0</v>
      </c>
      <c r="L203" s="36">
        <f t="shared" si="114"/>
        <v>0</v>
      </c>
      <c r="M203" s="36">
        <f t="shared" si="114"/>
        <v>0</v>
      </c>
      <c r="N203" s="36">
        <f t="shared" si="114"/>
        <v>0</v>
      </c>
      <c r="O203" s="36">
        <f t="shared" si="114"/>
        <v>0</v>
      </c>
      <c r="P203" s="36">
        <f t="shared" si="114"/>
        <v>0</v>
      </c>
      <c r="Q203" s="36">
        <f t="shared" si="114"/>
        <v>0</v>
      </c>
    </row>
    <row r="204" spans="1:17" x14ac:dyDescent="0.25">
      <c r="A204" s="37">
        <v>2400</v>
      </c>
      <c r="B204" s="13" t="s">
        <v>225</v>
      </c>
      <c r="D204" s="89">
        <v>25000</v>
      </c>
      <c r="E204"/>
      <c r="F204" s="36" t="e">
        <f t="shared" ref="F204:Q204" si="115">IF(SUM(F$161:F$164)&gt;1,1,0)</f>
        <v>#REF!</v>
      </c>
      <c r="G204" s="36" t="e">
        <f t="shared" si="115"/>
        <v>#REF!</v>
      </c>
      <c r="H204" s="36" t="e">
        <f t="shared" si="115"/>
        <v>#REF!</v>
      </c>
      <c r="I204" s="36" t="e">
        <f t="shared" si="115"/>
        <v>#REF!</v>
      </c>
      <c r="J204" s="36" t="e">
        <f t="shared" si="115"/>
        <v>#REF!</v>
      </c>
      <c r="K204" s="36" t="e">
        <f t="shared" si="115"/>
        <v>#REF!</v>
      </c>
      <c r="L204" s="36" t="e">
        <f t="shared" si="115"/>
        <v>#REF!</v>
      </c>
      <c r="M204" s="36" t="e">
        <f t="shared" si="115"/>
        <v>#REF!</v>
      </c>
      <c r="N204" s="36" t="e">
        <f t="shared" si="115"/>
        <v>#REF!</v>
      </c>
      <c r="O204" s="36" t="e">
        <f t="shared" si="115"/>
        <v>#REF!</v>
      </c>
      <c r="P204" s="36" t="e">
        <f t="shared" si="115"/>
        <v>#REF!</v>
      </c>
      <c r="Q204" s="36" t="e">
        <f t="shared" si="115"/>
        <v>#REF!</v>
      </c>
    </row>
    <row r="205" spans="1:17" x14ac:dyDescent="0.25">
      <c r="A205" s="37">
        <v>2400</v>
      </c>
      <c r="B205" s="13" t="s">
        <v>226</v>
      </c>
      <c r="D205" s="89">
        <v>25000</v>
      </c>
      <c r="E205"/>
      <c r="F205" s="36">
        <f t="shared" ref="F205:Q205" si="116">IF(SUM(F$165:F$168)&gt;1,1,0)</f>
        <v>0</v>
      </c>
      <c r="G205" s="36">
        <f t="shared" si="116"/>
        <v>0</v>
      </c>
      <c r="H205" s="36">
        <f t="shared" si="116"/>
        <v>0</v>
      </c>
      <c r="I205" s="36">
        <f t="shared" si="116"/>
        <v>0</v>
      </c>
      <c r="J205" s="36">
        <f t="shared" si="116"/>
        <v>0</v>
      </c>
      <c r="K205" s="36">
        <f t="shared" si="116"/>
        <v>0</v>
      </c>
      <c r="L205" s="36">
        <f t="shared" si="116"/>
        <v>0</v>
      </c>
      <c r="M205" s="36">
        <f t="shared" si="116"/>
        <v>0</v>
      </c>
      <c r="N205" s="36">
        <f t="shared" si="116"/>
        <v>0</v>
      </c>
      <c r="O205" s="36">
        <f t="shared" si="116"/>
        <v>0</v>
      </c>
      <c r="P205" s="36">
        <f t="shared" si="116"/>
        <v>0</v>
      </c>
      <c r="Q205" s="36">
        <f t="shared" si="116"/>
        <v>0</v>
      </c>
    </row>
    <row r="206" spans="1:17" x14ac:dyDescent="0.25">
      <c r="A206" s="37">
        <v>2400</v>
      </c>
      <c r="B206" s="13" t="s">
        <v>171</v>
      </c>
      <c r="D206" s="89">
        <v>50000</v>
      </c>
      <c r="E206"/>
      <c r="F206" s="83">
        <v>0</v>
      </c>
      <c r="G206" s="83">
        <v>0</v>
      </c>
      <c r="H206" s="83">
        <v>0</v>
      </c>
      <c r="I206">
        <f t="shared" ref="I206:Q206" si="117">H206</f>
        <v>0</v>
      </c>
      <c r="J206">
        <f t="shared" si="117"/>
        <v>0</v>
      </c>
      <c r="K206">
        <f t="shared" si="117"/>
        <v>0</v>
      </c>
      <c r="L206">
        <f t="shared" si="117"/>
        <v>0</v>
      </c>
      <c r="M206">
        <f t="shared" si="117"/>
        <v>0</v>
      </c>
      <c r="N206">
        <f t="shared" si="117"/>
        <v>0</v>
      </c>
      <c r="O206">
        <f t="shared" si="117"/>
        <v>0</v>
      </c>
      <c r="P206">
        <f t="shared" si="117"/>
        <v>0</v>
      </c>
      <c r="Q206">
        <f t="shared" si="117"/>
        <v>0</v>
      </c>
    </row>
    <row r="207" spans="1:17" x14ac:dyDescent="0.25">
      <c r="A207" s="37">
        <v>2400</v>
      </c>
      <c r="B207" s="13" t="s">
        <v>171</v>
      </c>
      <c r="D207" s="89">
        <v>50000</v>
      </c>
      <c r="E207"/>
      <c r="F207" s="83">
        <v>0</v>
      </c>
      <c r="G207" s="83">
        <v>0</v>
      </c>
      <c r="H207" s="83">
        <v>0</v>
      </c>
      <c r="I207">
        <f>H207</f>
        <v>0</v>
      </c>
      <c r="J207" s="44">
        <v>0</v>
      </c>
      <c r="K207">
        <v>0</v>
      </c>
      <c r="L207">
        <v>0</v>
      </c>
      <c r="M207">
        <v>0</v>
      </c>
      <c r="N207">
        <f>M207</f>
        <v>0</v>
      </c>
      <c r="O207">
        <f>N207</f>
        <v>0</v>
      </c>
      <c r="P207">
        <f>O207</f>
        <v>0</v>
      </c>
      <c r="Q207">
        <f>P207</f>
        <v>0</v>
      </c>
    </row>
    <row r="208" spans="1:17" x14ac:dyDescent="0.25">
      <c r="A208" s="37">
        <v>1300</v>
      </c>
      <c r="B208" s="13" t="s">
        <v>243</v>
      </c>
      <c r="D208" s="89">
        <v>55000</v>
      </c>
      <c r="E208"/>
      <c r="F208" s="36">
        <f t="shared" ref="F208:Q208" si="118">IF(SUM(F$165:F$168)&gt;1,1,0)</f>
        <v>0</v>
      </c>
      <c r="G208" s="36">
        <f t="shared" si="118"/>
        <v>0</v>
      </c>
      <c r="H208" s="36">
        <f t="shared" si="118"/>
        <v>0</v>
      </c>
      <c r="I208" s="36">
        <f t="shared" si="118"/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f t="shared" si="118"/>
        <v>0</v>
      </c>
      <c r="O208" s="36">
        <f t="shared" si="118"/>
        <v>0</v>
      </c>
      <c r="P208" s="36">
        <f t="shared" si="118"/>
        <v>0</v>
      </c>
      <c r="Q208" s="36">
        <f t="shared" si="118"/>
        <v>0</v>
      </c>
    </row>
    <row r="209" spans="1:17" x14ac:dyDescent="0.25">
      <c r="A209" s="37">
        <v>1300</v>
      </c>
      <c r="B209" s="13" t="s">
        <v>241</v>
      </c>
      <c r="D209" s="89">
        <v>80000</v>
      </c>
      <c r="E209"/>
      <c r="F209" s="36" t="e">
        <f t="shared" ref="F209:Q209" si="119">IF(SUM(F$161:F$164)&gt;1,1,0)</f>
        <v>#REF!</v>
      </c>
      <c r="G209" s="36" t="e">
        <f t="shared" si="119"/>
        <v>#REF!</v>
      </c>
      <c r="H209" s="36" t="e">
        <f t="shared" si="119"/>
        <v>#REF!</v>
      </c>
      <c r="I209" s="36" t="e">
        <f t="shared" si="119"/>
        <v>#REF!</v>
      </c>
      <c r="J209" s="36" t="e">
        <f t="shared" si="119"/>
        <v>#REF!</v>
      </c>
      <c r="K209" s="36" t="e">
        <f t="shared" si="119"/>
        <v>#REF!</v>
      </c>
      <c r="L209" s="36" t="e">
        <f t="shared" si="119"/>
        <v>#REF!</v>
      </c>
      <c r="M209" s="36" t="e">
        <f t="shared" si="119"/>
        <v>#REF!</v>
      </c>
      <c r="N209" s="36" t="e">
        <f t="shared" si="119"/>
        <v>#REF!</v>
      </c>
      <c r="O209" s="36" t="e">
        <f t="shared" si="119"/>
        <v>#REF!</v>
      </c>
      <c r="P209" s="36" t="e">
        <f t="shared" si="119"/>
        <v>#REF!</v>
      </c>
      <c r="Q209" s="36" t="e">
        <f t="shared" si="119"/>
        <v>#REF!</v>
      </c>
    </row>
    <row r="210" spans="1:17" x14ac:dyDescent="0.25">
      <c r="A210" s="37">
        <v>1300</v>
      </c>
      <c r="B210" s="13" t="s">
        <v>240</v>
      </c>
      <c r="D210" s="89">
        <v>80000</v>
      </c>
      <c r="E210"/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</row>
    <row r="211" spans="1:17" x14ac:dyDescent="0.25">
      <c r="A211" s="37">
        <v>1300</v>
      </c>
      <c r="B211" s="13" t="s">
        <v>242</v>
      </c>
      <c r="D211" s="89">
        <v>50000</v>
      </c>
      <c r="E211"/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</row>
    <row r="212" spans="1:17" x14ac:dyDescent="0.25">
      <c r="A212" s="15">
        <v>1110</v>
      </c>
      <c r="B212" s="13" t="s">
        <v>12</v>
      </c>
      <c r="D212" s="89">
        <v>52000</v>
      </c>
      <c r="E212"/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5">
      <c r="A213" s="15">
        <v>1110</v>
      </c>
      <c r="B213" s="13" t="s">
        <v>12</v>
      </c>
      <c r="D213" s="89">
        <v>52000</v>
      </c>
      <c r="E213"/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</row>
    <row r="214" spans="1:17" x14ac:dyDescent="0.25">
      <c r="A214" s="15">
        <v>1110</v>
      </c>
      <c r="B214" s="13" t="s">
        <v>12</v>
      </c>
      <c r="D214" s="89">
        <v>52000</v>
      </c>
      <c r="E214"/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5">
      <c r="A215" s="15">
        <v>1110</v>
      </c>
      <c r="B215" s="13" t="s">
        <v>12</v>
      </c>
      <c r="D215" s="89">
        <v>52000</v>
      </c>
      <c r="E215"/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5">
      <c r="A216" s="15">
        <v>1110</v>
      </c>
      <c r="B216" s="13" t="s">
        <v>12</v>
      </c>
      <c r="D216" s="89">
        <v>52000</v>
      </c>
      <c r="E216"/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5">
      <c r="A217" s="15">
        <v>1110</v>
      </c>
      <c r="B217" s="14" t="s">
        <v>13</v>
      </c>
      <c r="D217" s="89">
        <v>52000</v>
      </c>
      <c r="E217"/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</row>
    <row r="218" spans="1:17" x14ac:dyDescent="0.25">
      <c r="A218" s="15">
        <v>1110</v>
      </c>
      <c r="B218" s="14" t="s">
        <v>13</v>
      </c>
      <c r="D218" s="89">
        <v>52000</v>
      </c>
      <c r="E218"/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</row>
    <row r="219" spans="1:17" x14ac:dyDescent="0.25">
      <c r="A219" s="15">
        <v>1110</v>
      </c>
      <c r="B219" s="14" t="s">
        <v>13</v>
      </c>
      <c r="D219" s="89">
        <v>52000</v>
      </c>
      <c r="E219"/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5">
      <c r="A220" s="15">
        <v>1110</v>
      </c>
      <c r="B220" s="14" t="s">
        <v>13</v>
      </c>
      <c r="D220" s="89">
        <v>52000</v>
      </c>
      <c r="E220"/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5">
      <c r="A221" s="15">
        <v>1110</v>
      </c>
      <c r="B221" s="14" t="s">
        <v>13</v>
      </c>
      <c r="D221" s="89">
        <v>52000</v>
      </c>
      <c r="E221"/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</row>
    <row r="222" spans="1:17" x14ac:dyDescent="0.25">
      <c r="A222" s="15">
        <v>1110</v>
      </c>
      <c r="B222" s="7" t="s">
        <v>14</v>
      </c>
      <c r="D222" s="89">
        <v>52000</v>
      </c>
      <c r="E222"/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</row>
    <row r="223" spans="1:17" x14ac:dyDescent="0.25">
      <c r="A223" s="15">
        <v>1110</v>
      </c>
      <c r="B223" s="7" t="s">
        <v>14</v>
      </c>
      <c r="D223" s="89">
        <v>52000</v>
      </c>
      <c r="E223"/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</row>
    <row r="224" spans="1:17" x14ac:dyDescent="0.25">
      <c r="A224" s="15">
        <v>1110</v>
      </c>
      <c r="B224" s="7" t="s">
        <v>14</v>
      </c>
      <c r="D224" s="89">
        <v>52000</v>
      </c>
      <c r="E224"/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</row>
    <row r="225" spans="1:17" x14ac:dyDescent="0.25">
      <c r="A225" s="15">
        <v>1110</v>
      </c>
      <c r="B225" s="7" t="s">
        <v>14</v>
      </c>
      <c r="D225" s="89">
        <v>52000</v>
      </c>
      <c r="E225"/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</row>
    <row r="226" spans="1:17" x14ac:dyDescent="0.25">
      <c r="A226" s="15">
        <v>1110</v>
      </c>
      <c r="B226" s="7" t="s">
        <v>14</v>
      </c>
      <c r="D226" s="89">
        <v>52000</v>
      </c>
      <c r="E226"/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</row>
    <row r="227" spans="1:17" x14ac:dyDescent="0.25">
      <c r="A227" s="15">
        <v>1110</v>
      </c>
      <c r="B227" s="7" t="s">
        <v>15</v>
      </c>
      <c r="D227" s="89">
        <v>52000</v>
      </c>
      <c r="E227"/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</row>
    <row r="228" spans="1:17" x14ac:dyDescent="0.25">
      <c r="A228" s="15">
        <v>1110</v>
      </c>
      <c r="B228" s="7" t="s">
        <v>15</v>
      </c>
      <c r="D228" s="89">
        <v>52000</v>
      </c>
      <c r="E228"/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</row>
    <row r="229" spans="1:17" x14ac:dyDescent="0.25">
      <c r="A229" s="15">
        <v>1110</v>
      </c>
      <c r="B229" s="7" t="s">
        <v>15</v>
      </c>
      <c r="D229" s="89">
        <v>52000</v>
      </c>
      <c r="E229"/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</row>
    <row r="230" spans="1:17" x14ac:dyDescent="0.25">
      <c r="A230" s="15">
        <v>1110</v>
      </c>
      <c r="B230" s="7" t="s">
        <v>15</v>
      </c>
      <c r="D230" s="89">
        <v>52000</v>
      </c>
      <c r="E230"/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</row>
    <row r="231" spans="1:17" x14ac:dyDescent="0.25">
      <c r="A231" s="15">
        <v>1110</v>
      </c>
      <c r="B231" s="7" t="s">
        <v>15</v>
      </c>
      <c r="D231" s="89">
        <v>52000</v>
      </c>
      <c r="E231"/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</row>
    <row r="232" spans="1:17" x14ac:dyDescent="0.25">
      <c r="A232" s="15">
        <v>1110</v>
      </c>
      <c r="B232" s="7" t="s">
        <v>16</v>
      </c>
      <c r="D232" s="89">
        <v>52000</v>
      </c>
      <c r="E232"/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</row>
    <row r="233" spans="1:17" x14ac:dyDescent="0.25">
      <c r="A233" s="15">
        <v>1110</v>
      </c>
      <c r="B233" s="7" t="s">
        <v>16</v>
      </c>
      <c r="D233" s="89">
        <v>52000</v>
      </c>
      <c r="E233"/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</row>
    <row r="234" spans="1:17" x14ac:dyDescent="0.25">
      <c r="A234" s="15">
        <v>1110</v>
      </c>
      <c r="B234" s="7" t="s">
        <v>16</v>
      </c>
      <c r="D234" s="89">
        <v>52000</v>
      </c>
      <c r="E234"/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</row>
    <row r="235" spans="1:17" x14ac:dyDescent="0.25">
      <c r="A235" s="15">
        <v>1110</v>
      </c>
      <c r="B235" s="7" t="s">
        <v>16</v>
      </c>
      <c r="D235" s="89">
        <v>52000</v>
      </c>
      <c r="E235"/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</row>
    <row r="236" spans="1:17" x14ac:dyDescent="0.25">
      <c r="A236" s="15">
        <v>1110</v>
      </c>
      <c r="B236" s="7" t="s">
        <v>16</v>
      </c>
      <c r="D236" s="89">
        <v>52000</v>
      </c>
      <c r="E236"/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</row>
    <row r="237" spans="1:17" x14ac:dyDescent="0.25">
      <c r="A237" s="15">
        <v>2100</v>
      </c>
      <c r="B237" s="7" t="s">
        <v>227</v>
      </c>
      <c r="D237" s="89">
        <v>52000</v>
      </c>
      <c r="E237"/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</row>
    <row r="238" spans="1:17" x14ac:dyDescent="0.25">
      <c r="A238" s="15">
        <v>2100</v>
      </c>
      <c r="B238" s="7" t="s">
        <v>227</v>
      </c>
      <c r="D238" s="89">
        <v>52000</v>
      </c>
      <c r="E238"/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36">
        <v>0</v>
      </c>
      <c r="N238" s="83">
        <v>0</v>
      </c>
      <c r="O238" s="36">
        <v>0</v>
      </c>
      <c r="P238" s="36">
        <v>0</v>
      </c>
      <c r="Q238" s="36">
        <v>0</v>
      </c>
    </row>
    <row r="239" spans="1:17" x14ac:dyDescent="0.25">
      <c r="A239" s="15">
        <v>2100</v>
      </c>
      <c r="B239" s="7" t="s">
        <v>227</v>
      </c>
      <c r="D239" s="89">
        <v>52000</v>
      </c>
      <c r="E239"/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36">
        <v>0</v>
      </c>
      <c r="N239" s="83">
        <v>0</v>
      </c>
      <c r="O239" s="36">
        <v>0</v>
      </c>
      <c r="P239" s="36">
        <v>0</v>
      </c>
      <c r="Q239" s="36">
        <v>0</v>
      </c>
    </row>
    <row r="240" spans="1:17" x14ac:dyDescent="0.25">
      <c r="A240" s="37">
        <v>1110</v>
      </c>
      <c r="B240" s="13" t="s">
        <v>67</v>
      </c>
      <c r="D240" s="89">
        <v>52000</v>
      </c>
      <c r="E240"/>
      <c r="F240" s="83">
        <v>0</v>
      </c>
      <c r="G240" s="83">
        <v>0</v>
      </c>
      <c r="H240" s="83">
        <v>0</v>
      </c>
      <c r="I240">
        <f t="shared" ref="I240:M253" si="120">H240</f>
        <v>0</v>
      </c>
      <c r="J240">
        <f t="shared" si="120"/>
        <v>0</v>
      </c>
      <c r="K240">
        <f t="shared" si="120"/>
        <v>0</v>
      </c>
      <c r="L240">
        <f t="shared" si="120"/>
        <v>0</v>
      </c>
      <c r="M240">
        <f t="shared" si="120"/>
        <v>0</v>
      </c>
      <c r="N240">
        <v>1</v>
      </c>
      <c r="O240">
        <f>N240</f>
        <v>1</v>
      </c>
      <c r="P240" s="36">
        <f t="shared" ref="N240:Q253" si="121">O240</f>
        <v>1</v>
      </c>
      <c r="Q240" s="36">
        <f t="shared" si="121"/>
        <v>1</v>
      </c>
    </row>
    <row r="241" spans="1:17" x14ac:dyDescent="0.25">
      <c r="A241" s="37">
        <v>1110</v>
      </c>
      <c r="B241" s="13" t="s">
        <v>67</v>
      </c>
      <c r="D241" s="89">
        <v>52000</v>
      </c>
      <c r="E241"/>
      <c r="F241" s="83">
        <v>0</v>
      </c>
      <c r="G241" s="83">
        <v>0</v>
      </c>
      <c r="H241" s="83">
        <v>0</v>
      </c>
      <c r="I241">
        <f t="shared" si="120"/>
        <v>0</v>
      </c>
      <c r="J241">
        <f t="shared" si="120"/>
        <v>0</v>
      </c>
      <c r="K241">
        <f t="shared" si="120"/>
        <v>0</v>
      </c>
      <c r="L241">
        <f t="shared" si="120"/>
        <v>0</v>
      </c>
      <c r="M241">
        <f t="shared" si="120"/>
        <v>0</v>
      </c>
      <c r="N241">
        <v>1</v>
      </c>
      <c r="O241">
        <f>N241</f>
        <v>1</v>
      </c>
      <c r="P241" s="36">
        <f t="shared" si="121"/>
        <v>1</v>
      </c>
      <c r="Q241" s="36">
        <f t="shared" si="121"/>
        <v>1</v>
      </c>
    </row>
    <row r="242" spans="1:17" x14ac:dyDescent="0.25">
      <c r="A242" s="37">
        <v>1110</v>
      </c>
      <c r="B242" s="13" t="s">
        <v>67</v>
      </c>
      <c r="D242" s="89">
        <v>52000</v>
      </c>
      <c r="E242"/>
      <c r="F242" s="83">
        <v>0</v>
      </c>
      <c r="G242" s="83">
        <v>0</v>
      </c>
      <c r="H242" s="83">
        <v>0</v>
      </c>
      <c r="I242">
        <f t="shared" si="120"/>
        <v>0</v>
      </c>
      <c r="J242">
        <f t="shared" si="120"/>
        <v>0</v>
      </c>
      <c r="K242">
        <f t="shared" si="120"/>
        <v>0</v>
      </c>
      <c r="L242">
        <f t="shared" si="120"/>
        <v>0</v>
      </c>
      <c r="M242">
        <f t="shared" si="120"/>
        <v>0</v>
      </c>
      <c r="N242">
        <v>1</v>
      </c>
      <c r="O242">
        <v>0</v>
      </c>
      <c r="P242" s="36">
        <f t="shared" si="121"/>
        <v>0</v>
      </c>
      <c r="Q242" s="36">
        <f t="shared" si="121"/>
        <v>0</v>
      </c>
    </row>
    <row r="243" spans="1:17" x14ac:dyDescent="0.25">
      <c r="A243" s="37">
        <v>1110</v>
      </c>
      <c r="B243" s="13" t="s">
        <v>67</v>
      </c>
      <c r="D243" s="89">
        <v>52000</v>
      </c>
      <c r="E243"/>
      <c r="F243" s="83">
        <v>0</v>
      </c>
      <c r="G243" s="83">
        <v>0</v>
      </c>
      <c r="H243" s="83">
        <v>0</v>
      </c>
      <c r="I243">
        <f t="shared" si="120"/>
        <v>0</v>
      </c>
      <c r="J243">
        <f t="shared" si="120"/>
        <v>0</v>
      </c>
      <c r="K243">
        <f t="shared" si="120"/>
        <v>0</v>
      </c>
      <c r="L243">
        <f t="shared" si="120"/>
        <v>0</v>
      </c>
      <c r="M243">
        <f t="shared" si="120"/>
        <v>0</v>
      </c>
      <c r="N243">
        <v>1</v>
      </c>
      <c r="O243">
        <v>0</v>
      </c>
      <c r="P243" s="36">
        <f t="shared" si="121"/>
        <v>0</v>
      </c>
      <c r="Q243" s="36">
        <f t="shared" si="121"/>
        <v>0</v>
      </c>
    </row>
    <row r="244" spans="1:17" x14ac:dyDescent="0.25">
      <c r="A244" s="37">
        <v>1110</v>
      </c>
      <c r="B244" s="13" t="s">
        <v>67</v>
      </c>
      <c r="D244" s="89">
        <v>52000</v>
      </c>
      <c r="E244"/>
      <c r="F244" s="83">
        <v>0</v>
      </c>
      <c r="G244" s="83">
        <v>0</v>
      </c>
      <c r="H244" s="83">
        <v>0</v>
      </c>
      <c r="I244">
        <f t="shared" si="120"/>
        <v>0</v>
      </c>
      <c r="J244">
        <f t="shared" si="120"/>
        <v>0</v>
      </c>
      <c r="K244">
        <f t="shared" si="120"/>
        <v>0</v>
      </c>
      <c r="L244">
        <f t="shared" si="120"/>
        <v>0</v>
      </c>
      <c r="M244">
        <f t="shared" si="120"/>
        <v>0</v>
      </c>
      <c r="N244">
        <f t="shared" si="121"/>
        <v>0</v>
      </c>
      <c r="O244">
        <f>N244</f>
        <v>0</v>
      </c>
      <c r="P244" s="36">
        <f t="shared" si="121"/>
        <v>0</v>
      </c>
      <c r="Q244" s="36">
        <f t="shared" si="121"/>
        <v>0</v>
      </c>
    </row>
    <row r="245" spans="1:17" x14ac:dyDescent="0.25">
      <c r="A245" s="37">
        <v>1110</v>
      </c>
      <c r="B245" s="14" t="s">
        <v>68</v>
      </c>
      <c r="D245" s="89">
        <v>52000</v>
      </c>
      <c r="E245"/>
      <c r="F245" s="83">
        <v>0</v>
      </c>
      <c r="G245" s="83">
        <v>0</v>
      </c>
      <c r="H245" s="83">
        <v>0</v>
      </c>
      <c r="I245">
        <f t="shared" si="120"/>
        <v>0</v>
      </c>
      <c r="J245">
        <f t="shared" si="120"/>
        <v>0</v>
      </c>
      <c r="K245">
        <f t="shared" si="120"/>
        <v>0</v>
      </c>
      <c r="L245">
        <f t="shared" si="120"/>
        <v>0</v>
      </c>
      <c r="M245">
        <f t="shared" si="120"/>
        <v>0</v>
      </c>
      <c r="N245">
        <f t="shared" si="121"/>
        <v>0</v>
      </c>
      <c r="O245">
        <v>1</v>
      </c>
      <c r="P245" s="36">
        <f t="shared" si="121"/>
        <v>1</v>
      </c>
      <c r="Q245" s="36">
        <f t="shared" si="121"/>
        <v>1</v>
      </c>
    </row>
    <row r="246" spans="1:17" x14ac:dyDescent="0.25">
      <c r="A246" s="37">
        <v>1110</v>
      </c>
      <c r="B246" s="14" t="s">
        <v>68</v>
      </c>
      <c r="D246" s="89">
        <v>52000</v>
      </c>
      <c r="E246"/>
      <c r="F246" s="83">
        <v>0</v>
      </c>
      <c r="G246" s="83">
        <v>0</v>
      </c>
      <c r="H246" s="83">
        <v>0</v>
      </c>
      <c r="I246">
        <f t="shared" si="120"/>
        <v>0</v>
      </c>
      <c r="J246">
        <f t="shared" si="120"/>
        <v>0</v>
      </c>
      <c r="K246">
        <f t="shared" si="120"/>
        <v>0</v>
      </c>
      <c r="L246">
        <f t="shared" si="120"/>
        <v>0</v>
      </c>
      <c r="M246">
        <f t="shared" si="120"/>
        <v>0</v>
      </c>
      <c r="N246">
        <f t="shared" si="121"/>
        <v>0</v>
      </c>
      <c r="O246">
        <v>1</v>
      </c>
      <c r="P246" s="36">
        <f t="shared" si="121"/>
        <v>1</v>
      </c>
      <c r="Q246" s="36">
        <f t="shared" si="121"/>
        <v>1</v>
      </c>
    </row>
    <row r="247" spans="1:17" x14ac:dyDescent="0.25">
      <c r="A247" s="37">
        <v>1110</v>
      </c>
      <c r="B247" s="14" t="s">
        <v>68</v>
      </c>
      <c r="D247" s="89">
        <v>52000</v>
      </c>
      <c r="E247"/>
      <c r="F247" s="83">
        <v>0</v>
      </c>
      <c r="G247" s="83">
        <v>0</v>
      </c>
      <c r="H247" s="83">
        <v>0</v>
      </c>
      <c r="I247">
        <f t="shared" si="120"/>
        <v>0</v>
      </c>
      <c r="J247">
        <f t="shared" si="120"/>
        <v>0</v>
      </c>
      <c r="K247">
        <f t="shared" si="120"/>
        <v>0</v>
      </c>
      <c r="L247">
        <f t="shared" si="120"/>
        <v>0</v>
      </c>
      <c r="M247">
        <f t="shared" si="120"/>
        <v>0</v>
      </c>
      <c r="N247">
        <f t="shared" si="121"/>
        <v>0</v>
      </c>
      <c r="O247">
        <v>1</v>
      </c>
      <c r="P247" s="36">
        <v>0</v>
      </c>
      <c r="Q247" s="36">
        <f t="shared" si="121"/>
        <v>0</v>
      </c>
    </row>
    <row r="248" spans="1:17" x14ac:dyDescent="0.25">
      <c r="A248" s="37">
        <v>1110</v>
      </c>
      <c r="B248" s="14" t="s">
        <v>68</v>
      </c>
      <c r="D248" s="89">
        <v>52000</v>
      </c>
      <c r="E248"/>
      <c r="F248" s="83">
        <v>0</v>
      </c>
      <c r="G248" s="83">
        <v>0</v>
      </c>
      <c r="H248" s="83">
        <v>0</v>
      </c>
      <c r="I248">
        <f t="shared" si="120"/>
        <v>0</v>
      </c>
      <c r="J248">
        <f t="shared" si="120"/>
        <v>0</v>
      </c>
      <c r="K248">
        <f t="shared" si="120"/>
        <v>0</v>
      </c>
      <c r="L248">
        <f t="shared" si="120"/>
        <v>0</v>
      </c>
      <c r="M248">
        <f t="shared" si="120"/>
        <v>0</v>
      </c>
      <c r="N248">
        <f t="shared" si="121"/>
        <v>0</v>
      </c>
      <c r="O248">
        <v>1</v>
      </c>
      <c r="P248" s="36">
        <v>0</v>
      </c>
      <c r="Q248" s="36">
        <f t="shared" si="121"/>
        <v>0</v>
      </c>
    </row>
    <row r="249" spans="1:17" x14ac:dyDescent="0.25">
      <c r="A249" s="37">
        <v>1110</v>
      </c>
      <c r="B249" s="7" t="s">
        <v>69</v>
      </c>
      <c r="D249" s="89">
        <v>52000</v>
      </c>
      <c r="E249"/>
      <c r="F249" s="83">
        <v>0</v>
      </c>
      <c r="G249" s="83">
        <v>0</v>
      </c>
      <c r="H249" s="83">
        <v>0</v>
      </c>
      <c r="I249">
        <f t="shared" si="120"/>
        <v>0</v>
      </c>
      <c r="J249">
        <f t="shared" si="120"/>
        <v>0</v>
      </c>
      <c r="K249">
        <f t="shared" si="120"/>
        <v>0</v>
      </c>
      <c r="L249">
        <f t="shared" si="120"/>
        <v>0</v>
      </c>
      <c r="M249">
        <f t="shared" si="120"/>
        <v>0</v>
      </c>
      <c r="N249">
        <f t="shared" si="121"/>
        <v>0</v>
      </c>
      <c r="O249">
        <f t="shared" si="121"/>
        <v>0</v>
      </c>
      <c r="P249" s="36">
        <v>1</v>
      </c>
      <c r="Q249" s="36">
        <f t="shared" si="121"/>
        <v>1</v>
      </c>
    </row>
    <row r="250" spans="1:17" x14ac:dyDescent="0.25">
      <c r="A250" s="37">
        <v>1110</v>
      </c>
      <c r="B250" s="7" t="s">
        <v>69</v>
      </c>
      <c r="D250" s="89">
        <v>52000</v>
      </c>
      <c r="E250"/>
      <c r="F250" s="83">
        <v>0</v>
      </c>
      <c r="G250" s="83">
        <v>0</v>
      </c>
      <c r="H250" s="83">
        <v>0</v>
      </c>
      <c r="I250">
        <f t="shared" si="120"/>
        <v>0</v>
      </c>
      <c r="J250">
        <f t="shared" si="120"/>
        <v>0</v>
      </c>
      <c r="K250">
        <f t="shared" si="120"/>
        <v>0</v>
      </c>
      <c r="L250">
        <f t="shared" si="120"/>
        <v>0</v>
      </c>
      <c r="M250">
        <f t="shared" si="120"/>
        <v>0</v>
      </c>
      <c r="N250">
        <f t="shared" si="121"/>
        <v>0</v>
      </c>
      <c r="O250">
        <f t="shared" si="121"/>
        <v>0</v>
      </c>
      <c r="P250" s="36">
        <v>1</v>
      </c>
      <c r="Q250" s="36">
        <f t="shared" si="121"/>
        <v>1</v>
      </c>
    </row>
    <row r="251" spans="1:17" x14ac:dyDescent="0.25">
      <c r="A251" s="37">
        <v>1110</v>
      </c>
      <c r="B251" s="7" t="s">
        <v>69</v>
      </c>
      <c r="D251" s="89">
        <v>52000</v>
      </c>
      <c r="E251"/>
      <c r="F251" s="83">
        <v>0</v>
      </c>
      <c r="G251" s="83">
        <v>0</v>
      </c>
      <c r="H251" s="83">
        <v>0</v>
      </c>
      <c r="I251">
        <f t="shared" si="120"/>
        <v>0</v>
      </c>
      <c r="J251">
        <f t="shared" si="120"/>
        <v>0</v>
      </c>
      <c r="K251">
        <f t="shared" si="120"/>
        <v>0</v>
      </c>
      <c r="L251">
        <f t="shared" si="120"/>
        <v>0</v>
      </c>
      <c r="M251">
        <f t="shared" si="120"/>
        <v>0</v>
      </c>
      <c r="N251">
        <f t="shared" si="121"/>
        <v>0</v>
      </c>
      <c r="O251">
        <f t="shared" si="121"/>
        <v>0</v>
      </c>
      <c r="P251" s="36">
        <v>1</v>
      </c>
      <c r="Q251" s="36">
        <v>0</v>
      </c>
    </row>
    <row r="252" spans="1:17" x14ac:dyDescent="0.25">
      <c r="A252" s="37">
        <v>1110</v>
      </c>
      <c r="B252" s="7" t="s">
        <v>69</v>
      </c>
      <c r="D252" s="89">
        <v>52000</v>
      </c>
      <c r="E252"/>
      <c r="F252" s="83">
        <v>0</v>
      </c>
      <c r="G252" s="83">
        <v>0</v>
      </c>
      <c r="H252" s="83">
        <v>0</v>
      </c>
      <c r="I252">
        <f t="shared" si="120"/>
        <v>0</v>
      </c>
      <c r="J252">
        <f t="shared" si="120"/>
        <v>0</v>
      </c>
      <c r="K252">
        <f t="shared" si="120"/>
        <v>0</v>
      </c>
      <c r="L252">
        <f t="shared" si="120"/>
        <v>0</v>
      </c>
      <c r="M252">
        <f t="shared" si="120"/>
        <v>0</v>
      </c>
      <c r="N252">
        <f t="shared" si="121"/>
        <v>0</v>
      </c>
      <c r="O252">
        <f t="shared" si="121"/>
        <v>0</v>
      </c>
      <c r="P252" s="36">
        <v>1</v>
      </c>
      <c r="Q252" s="36">
        <v>0</v>
      </c>
    </row>
    <row r="253" spans="1:17" x14ac:dyDescent="0.25">
      <c r="A253" s="37">
        <v>1110</v>
      </c>
      <c r="B253" s="7" t="s">
        <v>69</v>
      </c>
      <c r="D253" s="89">
        <v>52000</v>
      </c>
      <c r="E253"/>
      <c r="F253" s="83">
        <v>0</v>
      </c>
      <c r="G253" s="83">
        <v>0</v>
      </c>
      <c r="H253" s="83">
        <v>0</v>
      </c>
      <c r="I253">
        <f t="shared" si="120"/>
        <v>0</v>
      </c>
      <c r="J253">
        <f t="shared" si="120"/>
        <v>0</v>
      </c>
      <c r="K253">
        <f t="shared" si="120"/>
        <v>0</v>
      </c>
      <c r="L253">
        <f t="shared" si="120"/>
        <v>0</v>
      </c>
      <c r="M253">
        <f t="shared" si="120"/>
        <v>0</v>
      </c>
      <c r="N253">
        <f t="shared" si="121"/>
        <v>0</v>
      </c>
      <c r="O253">
        <f t="shared" si="121"/>
        <v>0</v>
      </c>
      <c r="P253" s="36">
        <f t="shared" si="121"/>
        <v>0</v>
      </c>
      <c r="Q253" s="36">
        <f t="shared" si="121"/>
        <v>0</v>
      </c>
    </row>
    <row r="254" spans="1:17" x14ac:dyDescent="0.25">
      <c r="A254" s="37">
        <v>1110</v>
      </c>
      <c r="B254" s="7" t="s">
        <v>70</v>
      </c>
      <c r="D254" s="89">
        <v>52000</v>
      </c>
      <c r="E254"/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  <c r="Q254" s="83">
        <v>1</v>
      </c>
    </row>
    <row r="255" spans="1:17" x14ac:dyDescent="0.25">
      <c r="A255" s="37">
        <v>1110</v>
      </c>
      <c r="B255" s="7" t="s">
        <v>70</v>
      </c>
      <c r="D255" s="89">
        <v>52000</v>
      </c>
      <c r="E255"/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  <c r="Q255" s="83">
        <v>1</v>
      </c>
    </row>
    <row r="256" spans="1:17" x14ac:dyDescent="0.25">
      <c r="A256" s="37">
        <v>1110</v>
      </c>
      <c r="B256" s="7" t="s">
        <v>70</v>
      </c>
      <c r="D256" s="89">
        <v>52000</v>
      </c>
      <c r="E256"/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1</v>
      </c>
    </row>
    <row r="257" spans="1:17" x14ac:dyDescent="0.25">
      <c r="A257" s="37">
        <v>1110</v>
      </c>
      <c r="B257" s="7" t="s">
        <v>70</v>
      </c>
      <c r="D257" s="89">
        <v>52000</v>
      </c>
      <c r="E257"/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1</v>
      </c>
    </row>
    <row r="258" spans="1:17" x14ac:dyDescent="0.25">
      <c r="A258" s="37">
        <v>1110</v>
      </c>
      <c r="B258" s="7" t="s">
        <v>70</v>
      </c>
      <c r="D258" s="89">
        <v>52000</v>
      </c>
      <c r="E258"/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  <c r="Q258" s="83">
        <v>0</v>
      </c>
    </row>
    <row r="259" spans="1:17" x14ac:dyDescent="0.25">
      <c r="A259" s="113">
        <v>2100</v>
      </c>
      <c r="B259" s="7" t="s">
        <v>228</v>
      </c>
      <c r="D259" s="89">
        <v>52000</v>
      </c>
      <c r="E259"/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0.5</v>
      </c>
      <c r="P259" s="83">
        <v>1</v>
      </c>
      <c r="Q259" s="83">
        <f>P259</f>
        <v>1</v>
      </c>
    </row>
    <row r="260" spans="1:17" x14ac:dyDescent="0.25">
      <c r="A260" s="113">
        <v>2100</v>
      </c>
      <c r="B260" s="7" t="s">
        <v>228</v>
      </c>
      <c r="D260" s="89">
        <v>52000</v>
      </c>
      <c r="E260"/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  <c r="Q260" s="83">
        <v>0.5</v>
      </c>
    </row>
    <row r="261" spans="1:17" x14ac:dyDescent="0.25">
      <c r="A261" s="37">
        <v>2200</v>
      </c>
      <c r="B261" s="7" t="s">
        <v>27</v>
      </c>
      <c r="D261" s="89">
        <f>6.5*182*10</f>
        <v>11830</v>
      </c>
      <c r="E261"/>
      <c r="F261" s="83">
        <v>0</v>
      </c>
      <c r="G261" s="83">
        <v>0</v>
      </c>
      <c r="H261" s="83">
        <v>0</v>
      </c>
      <c r="I261">
        <v>0</v>
      </c>
      <c r="J261">
        <f>I261</f>
        <v>0</v>
      </c>
      <c r="K261">
        <v>0</v>
      </c>
      <c r="L261">
        <v>0</v>
      </c>
      <c r="M261">
        <v>0</v>
      </c>
      <c r="N261">
        <v>1</v>
      </c>
      <c r="O261">
        <f>N261</f>
        <v>1</v>
      </c>
      <c r="P261" s="36">
        <f>O261</f>
        <v>1</v>
      </c>
      <c r="Q261" s="36">
        <f>P261</f>
        <v>1</v>
      </c>
    </row>
    <row r="262" spans="1:17" x14ac:dyDescent="0.25">
      <c r="A262" s="37">
        <v>2200</v>
      </c>
      <c r="B262" s="7" t="s">
        <v>27</v>
      </c>
      <c r="D262" s="89">
        <f t="shared" ref="D262:D272" si="122">6.5*182*10</f>
        <v>11830</v>
      </c>
      <c r="E262"/>
      <c r="F262" s="83">
        <v>0</v>
      </c>
      <c r="G262" s="83">
        <v>0</v>
      </c>
      <c r="H262" s="83">
        <v>0</v>
      </c>
      <c r="I262">
        <f>H262</f>
        <v>0</v>
      </c>
      <c r="J262">
        <v>0</v>
      </c>
      <c r="K262">
        <v>0</v>
      </c>
      <c r="L262">
        <v>0</v>
      </c>
      <c r="M262">
        <v>0</v>
      </c>
      <c r="N262">
        <f>M262</f>
        <v>0</v>
      </c>
      <c r="O262">
        <v>0.5</v>
      </c>
      <c r="P262" s="36">
        <f t="shared" ref="P262:P267" si="123">O262</f>
        <v>0.5</v>
      </c>
      <c r="Q262" s="36">
        <v>1</v>
      </c>
    </row>
    <row r="263" spans="1:17" x14ac:dyDescent="0.25">
      <c r="A263" s="37">
        <v>2200</v>
      </c>
      <c r="B263" s="7" t="s">
        <v>27</v>
      </c>
      <c r="D263" s="89">
        <f t="shared" si="122"/>
        <v>11830</v>
      </c>
      <c r="E263"/>
      <c r="F263" s="83">
        <v>0</v>
      </c>
      <c r="G263" s="83">
        <v>0</v>
      </c>
      <c r="H263" s="83">
        <v>0</v>
      </c>
      <c r="I263">
        <f>H263</f>
        <v>0</v>
      </c>
      <c r="J263" s="44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 s="36">
        <f t="shared" si="123"/>
        <v>0</v>
      </c>
      <c r="Q263" s="36">
        <f>P263</f>
        <v>0</v>
      </c>
    </row>
    <row r="264" spans="1:17" x14ac:dyDescent="0.25">
      <c r="A264" s="37">
        <v>2200</v>
      </c>
      <c r="B264" s="7" t="s">
        <v>27</v>
      </c>
      <c r="D264" s="89">
        <f t="shared" si="122"/>
        <v>11830</v>
      </c>
      <c r="E264"/>
      <c r="F264" s="83">
        <v>0</v>
      </c>
      <c r="G264" s="83">
        <v>0</v>
      </c>
      <c r="H264" s="83">
        <v>0</v>
      </c>
      <c r="I264">
        <f>H264</f>
        <v>0</v>
      </c>
      <c r="J264">
        <f>I264</f>
        <v>0</v>
      </c>
      <c r="K264">
        <v>0</v>
      </c>
      <c r="L264" s="44">
        <v>0</v>
      </c>
      <c r="M264">
        <v>0</v>
      </c>
      <c r="N264">
        <v>0</v>
      </c>
      <c r="O264">
        <v>0</v>
      </c>
      <c r="P264" s="36">
        <f t="shared" si="123"/>
        <v>0</v>
      </c>
      <c r="Q264" s="36">
        <f>P264</f>
        <v>0</v>
      </c>
    </row>
    <row r="265" spans="1:17" x14ac:dyDescent="0.25">
      <c r="A265" s="37">
        <v>2200</v>
      </c>
      <c r="B265" s="7" t="s">
        <v>27</v>
      </c>
      <c r="D265" s="89">
        <f t="shared" si="122"/>
        <v>11830</v>
      </c>
      <c r="E265"/>
      <c r="F265" s="83">
        <v>0</v>
      </c>
      <c r="G265" s="83">
        <v>0</v>
      </c>
      <c r="H265" s="83">
        <v>0</v>
      </c>
      <c r="I265">
        <v>0</v>
      </c>
      <c r="J265">
        <v>0</v>
      </c>
      <c r="K265" s="83">
        <v>0</v>
      </c>
      <c r="L265" s="44">
        <v>0</v>
      </c>
      <c r="M265">
        <v>0</v>
      </c>
      <c r="N265">
        <v>0</v>
      </c>
      <c r="O265">
        <v>0</v>
      </c>
      <c r="P265" s="36">
        <f t="shared" si="123"/>
        <v>0</v>
      </c>
      <c r="Q265" s="36">
        <f>P265</f>
        <v>0</v>
      </c>
    </row>
    <row r="266" spans="1:17" x14ac:dyDescent="0.25">
      <c r="A266" s="37">
        <v>2200</v>
      </c>
      <c r="B266" s="7" t="s">
        <v>27</v>
      </c>
      <c r="D266" s="89">
        <f t="shared" si="122"/>
        <v>11830</v>
      </c>
      <c r="E266"/>
      <c r="F266" s="83">
        <v>0</v>
      </c>
      <c r="G266" s="83">
        <v>0</v>
      </c>
      <c r="H266" s="83">
        <v>0</v>
      </c>
      <c r="I266">
        <v>0</v>
      </c>
      <c r="J266">
        <v>0</v>
      </c>
      <c r="K266">
        <v>0</v>
      </c>
      <c r="L266" s="44">
        <v>0</v>
      </c>
      <c r="M266">
        <v>0</v>
      </c>
      <c r="N266">
        <v>0</v>
      </c>
      <c r="O266">
        <v>0</v>
      </c>
      <c r="P266" s="36">
        <f t="shared" si="123"/>
        <v>0</v>
      </c>
      <c r="Q266" s="36">
        <f>P266</f>
        <v>0</v>
      </c>
    </row>
    <row r="267" spans="1:17" x14ac:dyDescent="0.25">
      <c r="A267" s="37">
        <v>2200</v>
      </c>
      <c r="B267" s="7" t="s">
        <v>27</v>
      </c>
      <c r="D267" s="89">
        <f t="shared" si="122"/>
        <v>11830</v>
      </c>
      <c r="E267"/>
      <c r="F267" s="83">
        <v>0</v>
      </c>
      <c r="G267" s="83">
        <v>0</v>
      </c>
      <c r="H267" s="83">
        <v>0</v>
      </c>
      <c r="I267">
        <v>0</v>
      </c>
      <c r="J267">
        <v>0</v>
      </c>
      <c r="K267">
        <v>0</v>
      </c>
      <c r="L267" s="44">
        <v>0</v>
      </c>
      <c r="M267">
        <v>0</v>
      </c>
      <c r="N267">
        <v>0</v>
      </c>
      <c r="O267">
        <f>N267</f>
        <v>0</v>
      </c>
      <c r="P267" s="36">
        <f t="shared" si="123"/>
        <v>0</v>
      </c>
      <c r="Q267" s="36">
        <f>P267</f>
        <v>0</v>
      </c>
    </row>
    <row r="268" spans="1:17" s="113" customFormat="1" x14ac:dyDescent="0.25">
      <c r="A268" s="113">
        <v>2200</v>
      </c>
      <c r="B268" s="7" t="s">
        <v>87</v>
      </c>
      <c r="D268" s="89">
        <f t="shared" si="122"/>
        <v>11830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1</v>
      </c>
      <c r="O268" s="133">
        <v>1</v>
      </c>
      <c r="P268" s="133">
        <v>1</v>
      </c>
      <c r="Q268" s="133">
        <v>1</v>
      </c>
    </row>
    <row r="269" spans="1:17" s="2" customFormat="1" x14ac:dyDescent="0.25">
      <c r="A269" s="113">
        <v>2200</v>
      </c>
      <c r="B269" s="7" t="s">
        <v>87</v>
      </c>
      <c r="D269" s="89">
        <f t="shared" si="122"/>
        <v>11830</v>
      </c>
      <c r="F269" s="133">
        <v>0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0</v>
      </c>
      <c r="O269" s="133">
        <v>0</v>
      </c>
      <c r="P269" s="133">
        <v>0</v>
      </c>
      <c r="Q269" s="133">
        <v>0.5</v>
      </c>
    </row>
    <row r="270" spans="1:17" s="2" customFormat="1" x14ac:dyDescent="0.25">
      <c r="A270" s="113">
        <v>2200</v>
      </c>
      <c r="B270" s="7" t="s">
        <v>87</v>
      </c>
      <c r="D270" s="89">
        <f t="shared" si="122"/>
        <v>11830</v>
      </c>
      <c r="F270" s="133">
        <v>0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</row>
    <row r="271" spans="1:17" s="2" customFormat="1" x14ac:dyDescent="0.25">
      <c r="A271" s="113">
        <v>2200</v>
      </c>
      <c r="B271" s="7" t="s">
        <v>87</v>
      </c>
      <c r="D271" s="89">
        <f t="shared" si="122"/>
        <v>11830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</row>
    <row r="272" spans="1:17" s="2" customFormat="1" x14ac:dyDescent="0.25">
      <c r="A272" s="113">
        <v>2200</v>
      </c>
      <c r="B272" s="7" t="s">
        <v>87</v>
      </c>
      <c r="D272" s="89">
        <f t="shared" si="122"/>
        <v>11830</v>
      </c>
      <c r="F272" s="133">
        <v>0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</row>
    <row r="273" spans="1:17" s="2" customFormat="1" x14ac:dyDescent="0.25">
      <c r="A273" s="113">
        <v>1110</v>
      </c>
      <c r="B273" s="7" t="s">
        <v>159</v>
      </c>
      <c r="D273" s="89">
        <v>52000</v>
      </c>
      <c r="F273" s="133">
        <f t="shared" ref="F273:Q273" si="124">IF(F$165&gt;1,1,0)</f>
        <v>0</v>
      </c>
      <c r="G273" s="133">
        <f t="shared" si="124"/>
        <v>0</v>
      </c>
      <c r="H273" s="133">
        <f t="shared" si="124"/>
        <v>0</v>
      </c>
      <c r="I273" s="133">
        <f t="shared" si="124"/>
        <v>0</v>
      </c>
      <c r="J273" s="133">
        <v>0</v>
      </c>
      <c r="K273" s="133">
        <v>0</v>
      </c>
      <c r="L273" s="133">
        <v>0</v>
      </c>
      <c r="M273" s="133">
        <v>0</v>
      </c>
      <c r="N273" s="133">
        <f t="shared" si="124"/>
        <v>0</v>
      </c>
      <c r="O273" s="133">
        <f t="shared" si="124"/>
        <v>0</v>
      </c>
      <c r="P273" s="133">
        <f t="shared" si="124"/>
        <v>0</v>
      </c>
      <c r="Q273" s="133">
        <f t="shared" si="124"/>
        <v>0</v>
      </c>
    </row>
    <row r="274" spans="1:17" x14ac:dyDescent="0.25">
      <c r="A274" s="37">
        <v>1110</v>
      </c>
      <c r="B274" s="7" t="s">
        <v>161</v>
      </c>
      <c r="D274" s="89">
        <v>52000</v>
      </c>
      <c r="E274"/>
      <c r="F274" s="36">
        <f t="shared" ref="F274:Q274" si="125">IF(F$166&gt;1,1,0)</f>
        <v>0</v>
      </c>
      <c r="G274" s="36">
        <f t="shared" si="125"/>
        <v>0</v>
      </c>
      <c r="H274" s="36">
        <f t="shared" si="125"/>
        <v>0</v>
      </c>
      <c r="I274" s="36">
        <f t="shared" si="125"/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f t="shared" si="125"/>
        <v>0</v>
      </c>
      <c r="O274" s="36">
        <f t="shared" si="125"/>
        <v>0</v>
      </c>
      <c r="P274" s="36">
        <f t="shared" si="125"/>
        <v>0</v>
      </c>
      <c r="Q274" s="36">
        <f t="shared" si="125"/>
        <v>0</v>
      </c>
    </row>
    <row r="275" spans="1:17" x14ac:dyDescent="0.25">
      <c r="A275" s="37">
        <v>1110</v>
      </c>
      <c r="B275" s="7" t="s">
        <v>163</v>
      </c>
      <c r="D275" s="89">
        <v>52000</v>
      </c>
      <c r="E275"/>
      <c r="F275" s="36">
        <f t="shared" ref="F275:Q275" si="126">IF(F$167&gt;1,1,0)</f>
        <v>0</v>
      </c>
      <c r="G275" s="36">
        <f t="shared" si="126"/>
        <v>0</v>
      </c>
      <c r="H275" s="36">
        <f t="shared" si="126"/>
        <v>0</v>
      </c>
      <c r="I275" s="36">
        <f t="shared" si="126"/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f t="shared" si="126"/>
        <v>0</v>
      </c>
      <c r="O275" s="36">
        <f t="shared" si="126"/>
        <v>0</v>
      </c>
      <c r="P275" s="36">
        <f t="shared" si="126"/>
        <v>0</v>
      </c>
      <c r="Q275" s="36">
        <f t="shared" si="126"/>
        <v>0</v>
      </c>
    </row>
    <row r="276" spans="1:17" x14ac:dyDescent="0.25">
      <c r="A276" s="37">
        <v>1110</v>
      </c>
      <c r="B276" s="7" t="s">
        <v>165</v>
      </c>
      <c r="D276" s="89">
        <v>52000</v>
      </c>
      <c r="E276"/>
      <c r="F276" s="36">
        <f t="shared" ref="F276:Q276" si="127">IF(F$168&gt;1,1,0)</f>
        <v>0</v>
      </c>
      <c r="G276" s="36">
        <f t="shared" si="127"/>
        <v>0</v>
      </c>
      <c r="H276" s="36">
        <f t="shared" si="127"/>
        <v>0</v>
      </c>
      <c r="I276" s="36">
        <f t="shared" si="127"/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f t="shared" si="127"/>
        <v>0</v>
      </c>
      <c r="O276" s="36">
        <f t="shared" si="127"/>
        <v>0</v>
      </c>
      <c r="P276" s="36">
        <f t="shared" si="127"/>
        <v>0</v>
      </c>
      <c r="Q276" s="36">
        <f t="shared" si="127"/>
        <v>0</v>
      </c>
    </row>
    <row r="277" spans="1:17" x14ac:dyDescent="0.25">
      <c r="A277" s="37">
        <v>1110</v>
      </c>
      <c r="B277" s="7" t="s">
        <v>160</v>
      </c>
      <c r="D277" s="89">
        <v>52000</v>
      </c>
      <c r="E277"/>
      <c r="F277" s="36">
        <f t="shared" ref="F277:Q277" si="128">IF(F$165&gt;1,1,0)</f>
        <v>0</v>
      </c>
      <c r="G277" s="36">
        <f t="shared" si="128"/>
        <v>0</v>
      </c>
      <c r="H277" s="36">
        <f t="shared" si="128"/>
        <v>0</v>
      </c>
      <c r="I277" s="36">
        <f t="shared" si="128"/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f t="shared" si="128"/>
        <v>0</v>
      </c>
      <c r="O277" s="36">
        <f t="shared" si="128"/>
        <v>0</v>
      </c>
      <c r="P277" s="36">
        <f t="shared" si="128"/>
        <v>0</v>
      </c>
      <c r="Q277" s="36">
        <f t="shared" si="128"/>
        <v>0</v>
      </c>
    </row>
    <row r="278" spans="1:17" x14ac:dyDescent="0.25">
      <c r="A278" s="37">
        <v>1110</v>
      </c>
      <c r="B278" s="7" t="s">
        <v>162</v>
      </c>
      <c r="D278" s="89">
        <v>52000</v>
      </c>
      <c r="E278"/>
      <c r="F278" s="36">
        <f t="shared" ref="F278:Q278" si="129">IF(F$166&gt;1,1,0)</f>
        <v>0</v>
      </c>
      <c r="G278" s="36">
        <f t="shared" si="129"/>
        <v>0</v>
      </c>
      <c r="H278" s="36">
        <f t="shared" si="129"/>
        <v>0</v>
      </c>
      <c r="I278" s="36">
        <f t="shared" si="129"/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f t="shared" si="129"/>
        <v>0</v>
      </c>
      <c r="O278" s="36">
        <f t="shared" si="129"/>
        <v>0</v>
      </c>
      <c r="P278" s="36">
        <f t="shared" si="129"/>
        <v>0</v>
      </c>
      <c r="Q278" s="36">
        <f t="shared" si="129"/>
        <v>0</v>
      </c>
    </row>
    <row r="279" spans="1:17" x14ac:dyDescent="0.25">
      <c r="A279" s="37">
        <v>1110</v>
      </c>
      <c r="B279" s="7" t="s">
        <v>164</v>
      </c>
      <c r="D279" s="89">
        <v>52000</v>
      </c>
      <c r="E279"/>
      <c r="F279" s="36">
        <f t="shared" ref="F279:Q279" si="130">IF(F$167&gt;1,1,0)</f>
        <v>0</v>
      </c>
      <c r="G279" s="36">
        <f t="shared" si="130"/>
        <v>0</v>
      </c>
      <c r="H279" s="36">
        <f t="shared" si="130"/>
        <v>0</v>
      </c>
      <c r="I279" s="36">
        <f t="shared" si="130"/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f t="shared" si="130"/>
        <v>0</v>
      </c>
      <c r="O279" s="36">
        <f t="shared" si="130"/>
        <v>0</v>
      </c>
      <c r="P279" s="36">
        <f t="shared" si="130"/>
        <v>0</v>
      </c>
      <c r="Q279" s="36">
        <f t="shared" si="130"/>
        <v>0</v>
      </c>
    </row>
    <row r="280" spans="1:17" x14ac:dyDescent="0.25">
      <c r="A280" s="37">
        <v>1110</v>
      </c>
      <c r="B280" s="7" t="s">
        <v>166</v>
      </c>
      <c r="D280" s="89">
        <v>52000</v>
      </c>
      <c r="E280"/>
      <c r="F280" s="36">
        <f t="shared" ref="F280:Q280" si="131">IF(F$168&gt;1,1,0)</f>
        <v>0</v>
      </c>
      <c r="G280" s="36">
        <f t="shared" si="131"/>
        <v>0</v>
      </c>
      <c r="H280" s="36">
        <f t="shared" si="131"/>
        <v>0</v>
      </c>
      <c r="I280" s="36">
        <f t="shared" si="131"/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f t="shared" si="131"/>
        <v>0</v>
      </c>
      <c r="O280" s="36">
        <f t="shared" si="131"/>
        <v>0</v>
      </c>
      <c r="P280" s="36">
        <f t="shared" si="131"/>
        <v>0</v>
      </c>
      <c r="Q280" s="36">
        <f t="shared" si="131"/>
        <v>0</v>
      </c>
    </row>
    <row r="281" spans="1:17" x14ac:dyDescent="0.25">
      <c r="A281" s="37">
        <v>1110</v>
      </c>
      <c r="B281" s="7" t="s">
        <v>167</v>
      </c>
      <c r="D281" s="89">
        <v>52000</v>
      </c>
      <c r="E281"/>
      <c r="F281" s="36">
        <f t="shared" ref="F281:Q281" si="132">IF(F$165&gt;1,1,0)</f>
        <v>0</v>
      </c>
      <c r="G281" s="36">
        <f t="shared" si="132"/>
        <v>0</v>
      </c>
      <c r="H281" s="36">
        <f t="shared" si="132"/>
        <v>0</v>
      </c>
      <c r="I281" s="36">
        <f t="shared" si="132"/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f t="shared" si="132"/>
        <v>0</v>
      </c>
      <c r="O281" s="36">
        <f t="shared" si="132"/>
        <v>0</v>
      </c>
      <c r="P281" s="36">
        <f t="shared" si="132"/>
        <v>0</v>
      </c>
      <c r="Q281" s="36">
        <f t="shared" si="132"/>
        <v>0</v>
      </c>
    </row>
    <row r="282" spans="1:17" x14ac:dyDescent="0.25">
      <c r="A282" s="37">
        <v>1110</v>
      </c>
      <c r="B282" s="7" t="s">
        <v>168</v>
      </c>
      <c r="D282" s="89">
        <v>52000</v>
      </c>
      <c r="E282"/>
      <c r="F282" s="36">
        <f t="shared" ref="F282:Q282" si="133">IF(F$166&gt;1,1,0)</f>
        <v>0</v>
      </c>
      <c r="G282" s="36">
        <f t="shared" si="133"/>
        <v>0</v>
      </c>
      <c r="H282" s="36">
        <f t="shared" si="133"/>
        <v>0</v>
      </c>
      <c r="I282" s="36">
        <f t="shared" si="133"/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f t="shared" si="133"/>
        <v>0</v>
      </c>
      <c r="O282" s="36">
        <f t="shared" si="133"/>
        <v>0</v>
      </c>
      <c r="P282" s="36">
        <f t="shared" si="133"/>
        <v>0</v>
      </c>
      <c r="Q282" s="36">
        <f t="shared" si="133"/>
        <v>0</v>
      </c>
    </row>
    <row r="283" spans="1:17" x14ac:dyDescent="0.25">
      <c r="A283" s="37">
        <v>1110</v>
      </c>
      <c r="B283" s="7" t="s">
        <v>244</v>
      </c>
      <c r="D283" s="89">
        <v>52000</v>
      </c>
      <c r="E283"/>
      <c r="F283" s="36">
        <f t="shared" ref="F283:Q283" si="134">IF(F$167&gt;1,1,0)</f>
        <v>0</v>
      </c>
      <c r="G283" s="36">
        <f t="shared" si="134"/>
        <v>0</v>
      </c>
      <c r="H283" s="36">
        <f t="shared" si="134"/>
        <v>0</v>
      </c>
      <c r="I283" s="36">
        <f t="shared" si="134"/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f t="shared" si="134"/>
        <v>0</v>
      </c>
      <c r="O283" s="36">
        <f t="shared" si="134"/>
        <v>0</v>
      </c>
      <c r="P283" s="36">
        <f t="shared" si="134"/>
        <v>0</v>
      </c>
      <c r="Q283" s="36">
        <f t="shared" si="134"/>
        <v>0</v>
      </c>
    </row>
    <row r="284" spans="1:17" x14ac:dyDescent="0.25">
      <c r="A284" s="37">
        <v>1110</v>
      </c>
      <c r="B284" s="7" t="s">
        <v>169</v>
      </c>
      <c r="D284" s="89">
        <v>52000</v>
      </c>
      <c r="E284"/>
      <c r="F284" s="36">
        <f t="shared" ref="F284:Q284" si="135">IF(F$168&gt;1,1,0)</f>
        <v>0</v>
      </c>
      <c r="G284" s="36">
        <f t="shared" si="135"/>
        <v>0</v>
      </c>
      <c r="H284" s="36">
        <f t="shared" si="135"/>
        <v>0</v>
      </c>
      <c r="I284" s="36">
        <f t="shared" si="135"/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f t="shared" si="135"/>
        <v>0</v>
      </c>
      <c r="O284" s="36">
        <f t="shared" si="135"/>
        <v>0</v>
      </c>
      <c r="P284" s="36">
        <f t="shared" si="135"/>
        <v>0</v>
      </c>
      <c r="Q284" s="36">
        <f t="shared" si="135"/>
        <v>0</v>
      </c>
    </row>
    <row r="285" spans="1:17" x14ac:dyDescent="0.25">
      <c r="A285" s="37">
        <v>1110</v>
      </c>
      <c r="B285" s="7" t="s">
        <v>245</v>
      </c>
      <c r="D285" s="89">
        <v>52000</v>
      </c>
      <c r="E285"/>
      <c r="F285" s="36">
        <f t="shared" ref="F285:Q289" si="136">IF(F$165&gt;1,1,0)</f>
        <v>0</v>
      </c>
      <c r="G285" s="36">
        <f t="shared" si="136"/>
        <v>0</v>
      </c>
      <c r="H285" s="36">
        <f t="shared" si="136"/>
        <v>0</v>
      </c>
      <c r="I285" s="36">
        <f t="shared" si="136"/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f t="shared" si="136"/>
        <v>0</v>
      </c>
      <c r="O285" s="36">
        <f t="shared" si="136"/>
        <v>0</v>
      </c>
      <c r="P285" s="36">
        <f t="shared" si="136"/>
        <v>0</v>
      </c>
      <c r="Q285" s="36">
        <f t="shared" si="136"/>
        <v>0</v>
      </c>
    </row>
    <row r="286" spans="1:17" x14ac:dyDescent="0.25">
      <c r="A286" s="37">
        <v>1110</v>
      </c>
      <c r="B286" s="7" t="s">
        <v>246</v>
      </c>
      <c r="D286" s="89">
        <v>52000</v>
      </c>
      <c r="E286"/>
      <c r="F286" s="36">
        <f t="shared" si="136"/>
        <v>0</v>
      </c>
      <c r="G286" s="36">
        <f t="shared" si="136"/>
        <v>0</v>
      </c>
      <c r="H286" s="36">
        <f t="shared" si="136"/>
        <v>0</v>
      </c>
      <c r="I286" s="36">
        <f t="shared" si="136"/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f t="shared" si="136"/>
        <v>0</v>
      </c>
      <c r="O286" s="36">
        <f t="shared" si="136"/>
        <v>0</v>
      </c>
      <c r="P286" s="36">
        <f t="shared" si="136"/>
        <v>0</v>
      </c>
      <c r="Q286" s="36">
        <f t="shared" si="136"/>
        <v>0</v>
      </c>
    </row>
    <row r="287" spans="1:17" x14ac:dyDescent="0.25">
      <c r="A287" s="37">
        <v>1110</v>
      </c>
      <c r="B287" s="7" t="s">
        <v>247</v>
      </c>
      <c r="D287" s="89">
        <v>52000</v>
      </c>
      <c r="E287"/>
      <c r="F287" s="36">
        <f t="shared" si="136"/>
        <v>0</v>
      </c>
      <c r="G287" s="36">
        <f t="shared" si="136"/>
        <v>0</v>
      </c>
      <c r="H287" s="36">
        <f t="shared" si="136"/>
        <v>0</v>
      </c>
      <c r="I287" s="36">
        <f t="shared" si="136"/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f t="shared" si="136"/>
        <v>0</v>
      </c>
      <c r="O287" s="36">
        <f t="shared" si="136"/>
        <v>0</v>
      </c>
      <c r="P287" s="36">
        <f t="shared" si="136"/>
        <v>0</v>
      </c>
      <c r="Q287" s="36">
        <f t="shared" si="136"/>
        <v>0</v>
      </c>
    </row>
    <row r="288" spans="1:17" x14ac:dyDescent="0.25">
      <c r="A288" s="37">
        <v>1110</v>
      </c>
      <c r="B288" s="7" t="s">
        <v>247</v>
      </c>
      <c r="D288" s="89">
        <v>52000</v>
      </c>
      <c r="E288"/>
      <c r="F288" s="36">
        <f t="shared" si="136"/>
        <v>0</v>
      </c>
      <c r="G288" s="36">
        <f t="shared" si="136"/>
        <v>0</v>
      </c>
      <c r="H288" s="36">
        <f t="shared" si="136"/>
        <v>0</v>
      </c>
      <c r="I288" s="36">
        <f t="shared" si="136"/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f t="shared" si="136"/>
        <v>0</v>
      </c>
      <c r="O288" s="36">
        <f t="shared" si="136"/>
        <v>0</v>
      </c>
      <c r="P288" s="36">
        <f t="shared" si="136"/>
        <v>0</v>
      </c>
      <c r="Q288" s="36">
        <f t="shared" si="136"/>
        <v>0</v>
      </c>
    </row>
    <row r="289" spans="1:17" x14ac:dyDescent="0.25">
      <c r="A289" s="37">
        <v>1110</v>
      </c>
      <c r="B289" s="7" t="s">
        <v>170</v>
      </c>
      <c r="D289" s="89">
        <v>52000</v>
      </c>
      <c r="E289"/>
      <c r="F289" s="36">
        <f t="shared" si="136"/>
        <v>0</v>
      </c>
      <c r="G289" s="36">
        <f t="shared" si="136"/>
        <v>0</v>
      </c>
      <c r="H289" s="36">
        <f t="shared" si="136"/>
        <v>0</v>
      </c>
      <c r="I289" s="36">
        <f t="shared" si="136"/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f t="shared" si="136"/>
        <v>0</v>
      </c>
      <c r="O289" s="36">
        <f t="shared" si="136"/>
        <v>0</v>
      </c>
      <c r="P289" s="36">
        <f t="shared" si="136"/>
        <v>0</v>
      </c>
      <c r="Q289" s="36">
        <f t="shared" si="136"/>
        <v>0</v>
      </c>
    </row>
    <row r="290" spans="1:17" x14ac:dyDescent="0.25">
      <c r="A290" s="37">
        <v>1110</v>
      </c>
      <c r="B290" s="7" t="s">
        <v>170</v>
      </c>
      <c r="D290" s="89">
        <v>52000</v>
      </c>
      <c r="E290"/>
      <c r="F290" s="36">
        <f t="shared" ref="F290:Q290" si="137">IF(F$167&gt;1,1,0)</f>
        <v>0</v>
      </c>
      <c r="G290" s="36">
        <f t="shared" si="137"/>
        <v>0</v>
      </c>
      <c r="H290" s="36">
        <f t="shared" si="137"/>
        <v>0</v>
      </c>
      <c r="I290" s="36">
        <f t="shared" si="137"/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f t="shared" si="137"/>
        <v>0</v>
      </c>
      <c r="O290" s="36">
        <f t="shared" si="137"/>
        <v>0</v>
      </c>
      <c r="P290" s="36">
        <f t="shared" si="137"/>
        <v>0</v>
      </c>
      <c r="Q290" s="36">
        <f t="shared" si="137"/>
        <v>0</v>
      </c>
    </row>
    <row r="291" spans="1:17" x14ac:dyDescent="0.25">
      <c r="A291" s="37">
        <v>2300</v>
      </c>
      <c r="B291" s="7" t="s">
        <v>248</v>
      </c>
      <c r="D291" s="89">
        <v>52000</v>
      </c>
      <c r="E291"/>
      <c r="F291" s="36">
        <f t="shared" ref="F291:Q291" si="138">IF(F$165&gt;1,1,0)</f>
        <v>0</v>
      </c>
      <c r="G291" s="36">
        <f t="shared" si="138"/>
        <v>0</v>
      </c>
      <c r="H291" s="36">
        <f t="shared" si="138"/>
        <v>0</v>
      </c>
      <c r="I291" s="36">
        <f t="shared" si="138"/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f t="shared" si="138"/>
        <v>0</v>
      </c>
      <c r="O291" s="36">
        <f t="shared" si="138"/>
        <v>0</v>
      </c>
      <c r="P291" s="36">
        <f t="shared" si="138"/>
        <v>0</v>
      </c>
      <c r="Q291" s="36">
        <f t="shared" si="138"/>
        <v>0</v>
      </c>
    </row>
    <row r="292" spans="1:17" x14ac:dyDescent="0.25">
      <c r="A292" s="37">
        <v>2300</v>
      </c>
      <c r="B292" s="7" t="s">
        <v>248</v>
      </c>
      <c r="D292" s="89">
        <v>52000</v>
      </c>
      <c r="E292"/>
      <c r="F292" s="36">
        <f t="shared" ref="F292:Q292" si="139">IF(F$167&gt;1,1,0)</f>
        <v>0</v>
      </c>
      <c r="G292" s="36">
        <f t="shared" si="139"/>
        <v>0</v>
      </c>
      <c r="H292" s="36">
        <f t="shared" si="139"/>
        <v>0</v>
      </c>
      <c r="I292" s="36">
        <f t="shared" si="139"/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f t="shared" si="139"/>
        <v>0</v>
      </c>
      <c r="O292" s="36">
        <f t="shared" si="139"/>
        <v>0</v>
      </c>
      <c r="P292" s="36">
        <f t="shared" si="139"/>
        <v>0</v>
      </c>
      <c r="Q292" s="36">
        <f t="shared" si="139"/>
        <v>0</v>
      </c>
    </row>
    <row r="293" spans="1:17" x14ac:dyDescent="0.25">
      <c r="A293" s="37">
        <v>2900</v>
      </c>
      <c r="B293" s="7" t="s">
        <v>250</v>
      </c>
      <c r="D293" s="89">
        <v>33000</v>
      </c>
      <c r="E293"/>
      <c r="F293" s="36">
        <f t="shared" ref="F293:Q293" si="140">IF(SUM(F$156:F$160)&gt;1,1,0)</f>
        <v>0</v>
      </c>
      <c r="G293" s="36">
        <f t="shared" si="140"/>
        <v>0</v>
      </c>
      <c r="H293" s="36">
        <f t="shared" si="140"/>
        <v>0</v>
      </c>
      <c r="I293" s="36">
        <f t="shared" si="140"/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f t="shared" si="140"/>
        <v>0</v>
      </c>
      <c r="O293" s="36">
        <f t="shared" si="140"/>
        <v>0</v>
      </c>
      <c r="P293" s="36">
        <f t="shared" si="140"/>
        <v>0</v>
      </c>
      <c r="Q293" s="36">
        <f t="shared" si="140"/>
        <v>0</v>
      </c>
    </row>
    <row r="294" spans="1:17" x14ac:dyDescent="0.25">
      <c r="A294" s="37">
        <v>2900</v>
      </c>
      <c r="B294" s="7" t="s">
        <v>251</v>
      </c>
      <c r="D294" s="89">
        <v>33000</v>
      </c>
      <c r="E294"/>
      <c r="F294" s="36" t="e">
        <f t="shared" ref="F294:Q294" si="141">IF(SUM(F$161:F$164)&gt;1,1,0)</f>
        <v>#REF!</v>
      </c>
      <c r="G294" s="36" t="e">
        <f t="shared" si="141"/>
        <v>#REF!</v>
      </c>
      <c r="H294" s="36" t="e">
        <f t="shared" si="141"/>
        <v>#REF!</v>
      </c>
      <c r="I294" s="36" t="e">
        <f t="shared" si="141"/>
        <v>#REF!</v>
      </c>
      <c r="J294" s="36">
        <v>0</v>
      </c>
      <c r="K294" s="36">
        <v>0</v>
      </c>
      <c r="L294" s="36">
        <v>0</v>
      </c>
      <c r="M294" s="36">
        <v>0</v>
      </c>
      <c r="N294" s="36" t="e">
        <f t="shared" si="141"/>
        <v>#REF!</v>
      </c>
      <c r="O294" s="36" t="e">
        <f t="shared" si="141"/>
        <v>#REF!</v>
      </c>
      <c r="P294" s="36" t="e">
        <f t="shared" si="141"/>
        <v>#REF!</v>
      </c>
      <c r="Q294" s="36" t="e">
        <f t="shared" si="141"/>
        <v>#REF!</v>
      </c>
    </row>
    <row r="295" spans="1:17" x14ac:dyDescent="0.25">
      <c r="A295" s="37">
        <v>2900</v>
      </c>
      <c r="B295" s="7" t="s">
        <v>26</v>
      </c>
      <c r="D295" s="90">
        <f t="shared" ref="D295:D312" si="142">4*11*185</f>
        <v>8140</v>
      </c>
      <c r="E295"/>
      <c r="F295" s="83">
        <v>0</v>
      </c>
      <c r="G295" s="83">
        <v>0</v>
      </c>
      <c r="H295" s="83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1</v>
      </c>
      <c r="O295">
        <f t="shared" ref="N295:Q301" si="143">N295</f>
        <v>1</v>
      </c>
      <c r="P295" s="36">
        <f t="shared" si="143"/>
        <v>1</v>
      </c>
      <c r="Q295" s="36">
        <f t="shared" si="143"/>
        <v>1</v>
      </c>
    </row>
    <row r="296" spans="1:17" x14ac:dyDescent="0.25">
      <c r="A296" s="37">
        <v>2900</v>
      </c>
      <c r="B296" s="7" t="s">
        <v>26</v>
      </c>
      <c r="D296" s="90">
        <f t="shared" si="142"/>
        <v>8140</v>
      </c>
      <c r="E296"/>
      <c r="F296" s="83">
        <v>0</v>
      </c>
      <c r="G296" s="83">
        <v>0</v>
      </c>
      <c r="H296" s="83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f t="shared" si="143"/>
        <v>1</v>
      </c>
      <c r="P296" s="36">
        <f t="shared" si="143"/>
        <v>1</v>
      </c>
      <c r="Q296" s="36">
        <f t="shared" si="143"/>
        <v>1</v>
      </c>
    </row>
    <row r="297" spans="1:17" x14ac:dyDescent="0.25">
      <c r="A297" s="37">
        <v>2900</v>
      </c>
      <c r="B297" s="7" t="s">
        <v>26</v>
      </c>
      <c r="D297" s="90">
        <f t="shared" si="142"/>
        <v>8140</v>
      </c>
      <c r="E297"/>
      <c r="F297" s="83">
        <v>0</v>
      </c>
      <c r="G297" s="83">
        <v>0</v>
      </c>
      <c r="H297" s="83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f t="shared" si="143"/>
        <v>1</v>
      </c>
      <c r="P297" s="36">
        <f t="shared" si="143"/>
        <v>1</v>
      </c>
      <c r="Q297" s="36">
        <f t="shared" si="143"/>
        <v>1</v>
      </c>
    </row>
    <row r="298" spans="1:17" x14ac:dyDescent="0.25">
      <c r="A298" s="37">
        <v>2900</v>
      </c>
      <c r="B298" s="7" t="s">
        <v>26</v>
      </c>
      <c r="D298" s="90">
        <f t="shared" si="142"/>
        <v>8140</v>
      </c>
      <c r="E298"/>
      <c r="F298" s="83">
        <v>0</v>
      </c>
      <c r="G298" s="83">
        <v>0</v>
      </c>
      <c r="H298" s="83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f t="shared" si="143"/>
        <v>0</v>
      </c>
      <c r="O298">
        <v>1</v>
      </c>
      <c r="P298" s="36">
        <f t="shared" si="143"/>
        <v>1</v>
      </c>
      <c r="Q298" s="36">
        <f t="shared" si="143"/>
        <v>1</v>
      </c>
    </row>
    <row r="299" spans="1:17" x14ac:dyDescent="0.25">
      <c r="A299" s="37">
        <v>2900</v>
      </c>
      <c r="B299" s="7" t="s">
        <v>26</v>
      </c>
      <c r="D299" s="90">
        <f t="shared" si="142"/>
        <v>8140</v>
      </c>
      <c r="E299"/>
      <c r="F299" s="83">
        <v>0</v>
      </c>
      <c r="G299" s="83">
        <v>0</v>
      </c>
      <c r="H299" s="83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f t="shared" si="143"/>
        <v>0</v>
      </c>
      <c r="O299">
        <v>1</v>
      </c>
      <c r="P299" s="36">
        <f t="shared" si="143"/>
        <v>1</v>
      </c>
      <c r="Q299" s="36">
        <f t="shared" si="143"/>
        <v>1</v>
      </c>
    </row>
    <row r="300" spans="1:17" x14ac:dyDescent="0.25">
      <c r="A300" s="37">
        <v>2900</v>
      </c>
      <c r="B300" s="7" t="s">
        <v>26</v>
      </c>
      <c r="D300" s="90">
        <f t="shared" si="142"/>
        <v>8140</v>
      </c>
      <c r="E300"/>
      <c r="F300" s="83">
        <v>0</v>
      </c>
      <c r="G300" s="83">
        <v>0</v>
      </c>
      <c r="H300" s="83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f t="shared" si="143"/>
        <v>0</v>
      </c>
      <c r="O300">
        <f t="shared" si="143"/>
        <v>0</v>
      </c>
      <c r="P300" s="36">
        <v>1</v>
      </c>
      <c r="Q300" s="36">
        <f t="shared" si="143"/>
        <v>1</v>
      </c>
    </row>
    <row r="301" spans="1:17" x14ac:dyDescent="0.25">
      <c r="A301" s="37">
        <v>2900</v>
      </c>
      <c r="B301" s="7" t="s">
        <v>26</v>
      </c>
      <c r="D301" s="90">
        <f t="shared" si="142"/>
        <v>8140</v>
      </c>
      <c r="E301"/>
      <c r="F301" s="83">
        <v>0</v>
      </c>
      <c r="G301" s="83">
        <v>0</v>
      </c>
      <c r="H301" s="83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f t="shared" si="143"/>
        <v>0</v>
      </c>
      <c r="O301">
        <f t="shared" si="143"/>
        <v>0</v>
      </c>
      <c r="P301" s="36">
        <v>1</v>
      </c>
      <c r="Q301" s="36">
        <f t="shared" si="143"/>
        <v>1</v>
      </c>
    </row>
    <row r="302" spans="1:17" x14ac:dyDescent="0.25">
      <c r="A302" s="37">
        <v>2900</v>
      </c>
      <c r="B302" s="7" t="s">
        <v>26</v>
      </c>
      <c r="D302" s="90">
        <f t="shared" si="142"/>
        <v>8140</v>
      </c>
      <c r="E302"/>
      <c r="F302" s="83">
        <v>0</v>
      </c>
      <c r="G302" s="83">
        <v>0</v>
      </c>
      <c r="H302" s="83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 s="36">
        <v>0</v>
      </c>
      <c r="Q302" s="36">
        <v>1</v>
      </c>
    </row>
    <row r="303" spans="1:17" x14ac:dyDescent="0.25">
      <c r="A303" s="37">
        <v>2900</v>
      </c>
      <c r="B303" s="7" t="s">
        <v>26</v>
      </c>
      <c r="D303" s="90">
        <f t="shared" si="142"/>
        <v>8140</v>
      </c>
      <c r="E303"/>
      <c r="F303" s="83">
        <v>0</v>
      </c>
      <c r="G303" s="83">
        <v>0</v>
      </c>
      <c r="H303" s="8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 s="36">
        <v>0</v>
      </c>
      <c r="Q303" s="36">
        <v>1</v>
      </c>
    </row>
    <row r="304" spans="1:17" x14ac:dyDescent="0.25">
      <c r="A304" s="37">
        <v>2900</v>
      </c>
      <c r="B304" s="7" t="s">
        <v>26</v>
      </c>
      <c r="D304" s="90">
        <f t="shared" si="142"/>
        <v>8140</v>
      </c>
      <c r="E304"/>
      <c r="F304" s="83">
        <v>0</v>
      </c>
      <c r="G304" s="83">
        <v>0</v>
      </c>
      <c r="H304" s="83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 s="36">
        <v>0</v>
      </c>
      <c r="Q304" s="36">
        <v>0</v>
      </c>
    </row>
    <row r="305" spans="1:17" x14ac:dyDescent="0.25">
      <c r="A305" s="37">
        <v>2900</v>
      </c>
      <c r="B305" s="7" t="s">
        <v>26</v>
      </c>
      <c r="D305" s="90">
        <f t="shared" si="142"/>
        <v>8140</v>
      </c>
      <c r="E305"/>
      <c r="F305" s="83">
        <v>0</v>
      </c>
      <c r="G305" s="83">
        <v>0</v>
      </c>
      <c r="H305" s="83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 s="36">
        <v>0</v>
      </c>
      <c r="Q305" s="36">
        <v>0</v>
      </c>
    </row>
    <row r="306" spans="1:17" x14ac:dyDescent="0.25">
      <c r="A306" s="37">
        <v>2900</v>
      </c>
      <c r="B306" s="7" t="s">
        <v>26</v>
      </c>
      <c r="D306" s="90">
        <f t="shared" si="142"/>
        <v>8140</v>
      </c>
      <c r="E306"/>
      <c r="F306" s="83">
        <v>0</v>
      </c>
      <c r="G306" s="83">
        <v>0</v>
      </c>
      <c r="H306" s="83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 s="36">
        <v>0</v>
      </c>
      <c r="Q306" s="36">
        <v>0</v>
      </c>
    </row>
    <row r="307" spans="1:17" x14ac:dyDescent="0.25">
      <c r="A307" s="37">
        <v>2900</v>
      </c>
      <c r="B307" s="7" t="s">
        <v>26</v>
      </c>
      <c r="D307" s="90">
        <f t="shared" si="142"/>
        <v>8140</v>
      </c>
      <c r="E307"/>
      <c r="F307" s="83">
        <v>0</v>
      </c>
      <c r="G307" s="83">
        <v>0</v>
      </c>
      <c r="H307" s="83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 s="36">
        <v>0</v>
      </c>
      <c r="Q307" s="36">
        <v>0</v>
      </c>
    </row>
    <row r="308" spans="1:17" x14ac:dyDescent="0.25">
      <c r="A308" s="37">
        <v>2900</v>
      </c>
      <c r="B308" s="7" t="s">
        <v>26</v>
      </c>
      <c r="D308" s="90">
        <f t="shared" si="142"/>
        <v>8140</v>
      </c>
      <c r="E308"/>
      <c r="F308" s="83">
        <v>0</v>
      </c>
      <c r="G308" s="83">
        <v>0</v>
      </c>
      <c r="H308" s="83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 s="36">
        <v>0</v>
      </c>
      <c r="Q308" s="36">
        <v>0</v>
      </c>
    </row>
    <row r="309" spans="1:17" x14ac:dyDescent="0.25">
      <c r="A309" s="37">
        <v>2900</v>
      </c>
      <c r="B309" s="7" t="s">
        <v>26</v>
      </c>
      <c r="D309" s="90">
        <f t="shared" si="142"/>
        <v>8140</v>
      </c>
      <c r="E309"/>
      <c r="F309" s="83">
        <v>0</v>
      </c>
      <c r="G309" s="83">
        <v>0</v>
      </c>
      <c r="H309" s="83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 s="36">
        <v>0</v>
      </c>
      <c r="Q309" s="36">
        <v>0</v>
      </c>
    </row>
    <row r="310" spans="1:17" x14ac:dyDescent="0.25">
      <c r="A310" s="37">
        <v>2900</v>
      </c>
      <c r="B310" s="7" t="s">
        <v>26</v>
      </c>
      <c r="D310" s="90">
        <f t="shared" si="142"/>
        <v>8140</v>
      </c>
      <c r="E310"/>
      <c r="F310" s="83">
        <v>0</v>
      </c>
      <c r="G310" s="83">
        <v>0</v>
      </c>
      <c r="H310" s="83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 s="36">
        <v>0</v>
      </c>
      <c r="Q310" s="36">
        <v>0</v>
      </c>
    </row>
    <row r="311" spans="1:17" x14ac:dyDescent="0.25">
      <c r="A311" s="37">
        <v>2900</v>
      </c>
      <c r="B311" s="7" t="s">
        <v>26</v>
      </c>
      <c r="D311" s="90">
        <f t="shared" si="142"/>
        <v>8140</v>
      </c>
      <c r="E311"/>
      <c r="F311" s="83">
        <v>0</v>
      </c>
      <c r="G311" s="83">
        <v>0</v>
      </c>
      <c r="H311" s="83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 s="36">
        <v>0</v>
      </c>
      <c r="Q311" s="36">
        <v>0</v>
      </c>
    </row>
    <row r="312" spans="1:17" x14ac:dyDescent="0.25">
      <c r="A312" s="37">
        <v>2900</v>
      </c>
      <c r="B312" s="7" t="s">
        <v>26</v>
      </c>
      <c r="D312" s="90">
        <f t="shared" si="142"/>
        <v>8140</v>
      </c>
      <c r="E312"/>
      <c r="F312" s="91">
        <v>0</v>
      </c>
      <c r="G312" s="91">
        <v>0</v>
      </c>
      <c r="H312" s="91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63">
        <v>0</v>
      </c>
      <c r="Q312" s="63">
        <v>0</v>
      </c>
    </row>
    <row r="313" spans="1:17" s="36" customFormat="1" x14ac:dyDescent="0.25">
      <c r="A313" s="111"/>
      <c r="D313" s="117" t="s">
        <v>11</v>
      </c>
      <c r="F313" s="36" t="e">
        <f t="shared" ref="F313:Q313" si="144">SUM(F189:F312)</f>
        <v>#REF!</v>
      </c>
      <c r="G313" s="36" t="e">
        <f t="shared" si="144"/>
        <v>#REF!</v>
      </c>
      <c r="H313" s="36" t="e">
        <f t="shared" si="144"/>
        <v>#REF!</v>
      </c>
      <c r="I313" s="36" t="e">
        <f t="shared" si="144"/>
        <v>#REF!</v>
      </c>
      <c r="J313" s="36" t="e">
        <f>SUM(J189:J312)</f>
        <v>#REF!</v>
      </c>
      <c r="K313" s="36" t="e">
        <f t="shared" si="144"/>
        <v>#REF!</v>
      </c>
      <c r="L313" s="36" t="e">
        <f t="shared" si="144"/>
        <v>#REF!</v>
      </c>
      <c r="M313" s="36" t="e">
        <f t="shared" si="144"/>
        <v>#REF!</v>
      </c>
      <c r="N313" s="36" t="e">
        <f t="shared" si="144"/>
        <v>#REF!</v>
      </c>
      <c r="O313" s="36" t="e">
        <f t="shared" si="144"/>
        <v>#REF!</v>
      </c>
      <c r="P313" s="36" t="e">
        <f t="shared" si="144"/>
        <v>#REF!</v>
      </c>
      <c r="Q313" s="36" t="e">
        <f t="shared" si="144"/>
        <v>#REF!</v>
      </c>
    </row>
    <row r="314" spans="1:17" x14ac:dyDescent="0.25">
      <c r="E314"/>
      <c r="F314" s="44"/>
    </row>
    <row r="315" spans="1:17" x14ac:dyDescent="0.25">
      <c r="A315" s="114" t="s">
        <v>252</v>
      </c>
      <c r="D315" s="31"/>
      <c r="E315"/>
      <c r="F315" s="3" t="s">
        <v>0</v>
      </c>
      <c r="G315" s="21" t="s">
        <v>1</v>
      </c>
      <c r="H315" s="22" t="s">
        <v>2</v>
      </c>
      <c r="I315" s="3" t="s">
        <v>3</v>
      </c>
      <c r="J315" s="3" t="s">
        <v>4</v>
      </c>
      <c r="K315" s="4" t="s">
        <v>5</v>
      </c>
      <c r="L315" s="70" t="s">
        <v>61</v>
      </c>
      <c r="M315" s="70" t="s">
        <v>62</v>
      </c>
      <c r="N315" s="70" t="s">
        <v>63</v>
      </c>
      <c r="O315" s="70" t="s">
        <v>64</v>
      </c>
      <c r="P315" s="70" t="s">
        <v>65</v>
      </c>
      <c r="Q315" s="70" t="s">
        <v>66</v>
      </c>
    </row>
    <row r="316" spans="1:17" s="36" customFormat="1" x14ac:dyDescent="0.25">
      <c r="A316" s="111">
        <f>A188</f>
        <v>1300</v>
      </c>
      <c r="B316" s="111" t="str">
        <f>B188</f>
        <v>DCI - Elementary</v>
      </c>
      <c r="D316" s="115">
        <f t="shared" ref="D316:D379" si="145">D188</f>
        <v>75000</v>
      </c>
      <c r="E316" s="111"/>
      <c r="F316" s="115">
        <f t="shared" ref="F316:Q331" si="146">$D316*(1+E$5)*F188</f>
        <v>0</v>
      </c>
      <c r="G316" s="115">
        <f t="shared" si="146"/>
        <v>0</v>
      </c>
      <c r="H316" s="115">
        <f t="shared" si="146"/>
        <v>0</v>
      </c>
      <c r="I316" s="115">
        <f t="shared" si="146"/>
        <v>0</v>
      </c>
      <c r="J316" s="115">
        <f t="shared" si="146"/>
        <v>0</v>
      </c>
      <c r="K316" s="115">
        <f t="shared" si="146"/>
        <v>0</v>
      </c>
      <c r="L316" s="115">
        <f t="shared" si="146"/>
        <v>0</v>
      </c>
      <c r="M316" s="115">
        <f t="shared" si="146"/>
        <v>0</v>
      </c>
      <c r="N316" s="115">
        <f t="shared" si="146"/>
        <v>0</v>
      </c>
      <c r="O316" s="115">
        <f t="shared" si="146"/>
        <v>0</v>
      </c>
      <c r="P316" s="115">
        <f t="shared" si="146"/>
        <v>0</v>
      </c>
      <c r="Q316" s="115">
        <f t="shared" si="146"/>
        <v>0</v>
      </c>
    </row>
    <row r="317" spans="1:17" s="36" customFormat="1" x14ac:dyDescent="0.25">
      <c r="A317" s="111">
        <f t="shared" ref="A317:B332" si="147">A189</f>
        <v>1300</v>
      </c>
      <c r="B317" s="111" t="str">
        <f t="shared" si="147"/>
        <v>DCI - Middle</v>
      </c>
      <c r="D317" s="115">
        <f t="shared" si="145"/>
        <v>75000</v>
      </c>
      <c r="F317" s="115" t="e">
        <f t="shared" si="146"/>
        <v>#REF!</v>
      </c>
      <c r="G317" s="115" t="e">
        <f t="shared" si="146"/>
        <v>#REF!</v>
      </c>
      <c r="H317" s="115" t="e">
        <f t="shared" si="146"/>
        <v>#REF!</v>
      </c>
      <c r="I317" s="115" t="e">
        <f t="shared" si="146"/>
        <v>#REF!</v>
      </c>
      <c r="J317" s="115" t="e">
        <f t="shared" si="146"/>
        <v>#REF!</v>
      </c>
      <c r="K317" s="115" t="e">
        <f t="shared" si="146"/>
        <v>#REF!</v>
      </c>
      <c r="L317" s="115" t="e">
        <f t="shared" si="146"/>
        <v>#REF!</v>
      </c>
      <c r="M317" s="115" t="e">
        <f t="shared" si="146"/>
        <v>#REF!</v>
      </c>
      <c r="N317" s="115" t="e">
        <f t="shared" si="146"/>
        <v>#REF!</v>
      </c>
      <c r="O317" s="115" t="e">
        <f t="shared" si="146"/>
        <v>#REF!</v>
      </c>
      <c r="P317" s="115" t="e">
        <f t="shared" si="146"/>
        <v>#REF!</v>
      </c>
      <c r="Q317" s="115" t="e">
        <f t="shared" si="146"/>
        <v>#REF!</v>
      </c>
    </row>
    <row r="318" spans="1:17" s="36" customFormat="1" x14ac:dyDescent="0.25">
      <c r="A318" s="111">
        <f t="shared" si="147"/>
        <v>1300</v>
      </c>
      <c r="B318" s="111" t="str">
        <f t="shared" si="147"/>
        <v xml:space="preserve">DCI - High </v>
      </c>
      <c r="D318" s="115">
        <f t="shared" si="145"/>
        <v>75000</v>
      </c>
      <c r="F318" s="115">
        <f t="shared" si="146"/>
        <v>0</v>
      </c>
      <c r="G318" s="115">
        <f t="shared" si="146"/>
        <v>0</v>
      </c>
      <c r="H318" s="115">
        <f t="shared" si="146"/>
        <v>0</v>
      </c>
      <c r="I318" s="115">
        <f t="shared" si="146"/>
        <v>0</v>
      </c>
      <c r="J318" s="115">
        <f t="shared" si="146"/>
        <v>0</v>
      </c>
      <c r="K318" s="115">
        <f t="shared" si="146"/>
        <v>0</v>
      </c>
      <c r="L318" s="115">
        <f t="shared" si="146"/>
        <v>0</v>
      </c>
      <c r="M318" s="115">
        <f t="shared" si="146"/>
        <v>0</v>
      </c>
      <c r="N318" s="115">
        <f t="shared" si="146"/>
        <v>0</v>
      </c>
      <c r="O318" s="115">
        <f t="shared" si="146"/>
        <v>0</v>
      </c>
      <c r="P318" s="115">
        <f t="shared" si="146"/>
        <v>0</v>
      </c>
      <c r="Q318" s="115">
        <f t="shared" si="146"/>
        <v>0</v>
      </c>
    </row>
    <row r="319" spans="1:17" s="36" customFormat="1" x14ac:dyDescent="0.25">
      <c r="A319" s="111">
        <f t="shared" si="147"/>
        <v>2300</v>
      </c>
      <c r="B319" s="111" t="str">
        <f t="shared" si="147"/>
        <v>Dean of Culture - Elementary</v>
      </c>
      <c r="D319" s="115">
        <f t="shared" si="145"/>
        <v>60000</v>
      </c>
      <c r="F319" s="115">
        <f t="shared" si="146"/>
        <v>0</v>
      </c>
      <c r="G319" s="115">
        <f t="shared" si="146"/>
        <v>0</v>
      </c>
      <c r="H319" s="115">
        <f t="shared" si="146"/>
        <v>0</v>
      </c>
      <c r="I319" s="115">
        <f t="shared" si="146"/>
        <v>0</v>
      </c>
      <c r="J319" s="115">
        <f t="shared" si="146"/>
        <v>0</v>
      </c>
      <c r="K319" s="115">
        <f t="shared" si="146"/>
        <v>0</v>
      </c>
      <c r="L319" s="115">
        <f t="shared" si="146"/>
        <v>0</v>
      </c>
      <c r="M319" s="115">
        <f t="shared" si="146"/>
        <v>0</v>
      </c>
      <c r="N319" s="115">
        <f t="shared" si="146"/>
        <v>0</v>
      </c>
      <c r="O319" s="115">
        <f t="shared" si="146"/>
        <v>0</v>
      </c>
      <c r="P319" s="115">
        <f t="shared" si="146"/>
        <v>0</v>
      </c>
      <c r="Q319" s="115">
        <f t="shared" si="146"/>
        <v>0</v>
      </c>
    </row>
    <row r="320" spans="1:17" s="36" customFormat="1" x14ac:dyDescent="0.25">
      <c r="A320" s="111">
        <f t="shared" si="147"/>
        <v>2300</v>
      </c>
      <c r="B320" s="111" t="str">
        <f t="shared" si="147"/>
        <v>Dean of Culture - Middle</v>
      </c>
      <c r="D320" s="115">
        <f t="shared" si="145"/>
        <v>60000</v>
      </c>
      <c r="F320" s="115" t="e">
        <f t="shared" si="146"/>
        <v>#REF!</v>
      </c>
      <c r="G320" s="115" t="e">
        <f t="shared" si="146"/>
        <v>#REF!</v>
      </c>
      <c r="H320" s="115" t="e">
        <f t="shared" si="146"/>
        <v>#REF!</v>
      </c>
      <c r="I320" s="115" t="e">
        <f t="shared" si="146"/>
        <v>#REF!</v>
      </c>
      <c r="J320" s="115" t="e">
        <f t="shared" si="146"/>
        <v>#REF!</v>
      </c>
      <c r="K320" s="115" t="e">
        <f t="shared" si="146"/>
        <v>#REF!</v>
      </c>
      <c r="L320" s="115" t="e">
        <f t="shared" si="146"/>
        <v>#REF!</v>
      </c>
      <c r="M320" s="115" t="e">
        <f t="shared" si="146"/>
        <v>#REF!</v>
      </c>
      <c r="N320" s="115" t="e">
        <f t="shared" si="146"/>
        <v>#REF!</v>
      </c>
      <c r="O320" s="115" t="e">
        <f t="shared" si="146"/>
        <v>#REF!</v>
      </c>
      <c r="P320" s="115" t="e">
        <f t="shared" si="146"/>
        <v>#REF!</v>
      </c>
      <c r="Q320" s="115" t="e">
        <f t="shared" si="146"/>
        <v>#REF!</v>
      </c>
    </row>
    <row r="321" spans="1:17" s="36" customFormat="1" x14ac:dyDescent="0.25">
      <c r="A321" s="111">
        <f t="shared" si="147"/>
        <v>2300</v>
      </c>
      <c r="B321" s="111" t="str">
        <f t="shared" si="147"/>
        <v>Dean of Culture - High</v>
      </c>
      <c r="D321" s="115">
        <f t="shared" si="145"/>
        <v>60000</v>
      </c>
      <c r="F321" s="115">
        <f t="shared" si="146"/>
        <v>0</v>
      </c>
      <c r="G321" s="115">
        <f t="shared" si="146"/>
        <v>0</v>
      </c>
      <c r="H321" s="115">
        <f t="shared" si="146"/>
        <v>0</v>
      </c>
      <c r="I321" s="115">
        <f t="shared" si="146"/>
        <v>0</v>
      </c>
      <c r="J321" s="115">
        <f t="shared" si="146"/>
        <v>0</v>
      </c>
      <c r="K321" s="115">
        <f t="shared" si="146"/>
        <v>0</v>
      </c>
      <c r="L321" s="115">
        <f t="shared" si="146"/>
        <v>0</v>
      </c>
      <c r="M321" s="115">
        <f t="shared" si="146"/>
        <v>0</v>
      </c>
      <c r="N321" s="115">
        <f t="shared" si="146"/>
        <v>0</v>
      </c>
      <c r="O321" s="115">
        <f t="shared" si="146"/>
        <v>0</v>
      </c>
      <c r="P321" s="115">
        <f t="shared" si="146"/>
        <v>0</v>
      </c>
      <c r="Q321" s="115">
        <f t="shared" si="146"/>
        <v>0</v>
      </c>
    </row>
    <row r="322" spans="1:17" s="36" customFormat="1" x14ac:dyDescent="0.25">
      <c r="A322" s="111">
        <f t="shared" si="147"/>
        <v>2400</v>
      </c>
      <c r="B322" s="111" t="str">
        <f t="shared" si="147"/>
        <v>Parent Coordinator - Elementary</v>
      </c>
      <c r="D322" s="115">
        <f t="shared" si="145"/>
        <v>35000</v>
      </c>
      <c r="F322" s="115">
        <f t="shared" si="146"/>
        <v>0</v>
      </c>
      <c r="G322" s="115">
        <f t="shared" si="146"/>
        <v>0</v>
      </c>
      <c r="H322" s="115">
        <f t="shared" si="146"/>
        <v>0</v>
      </c>
      <c r="I322" s="115">
        <f t="shared" si="146"/>
        <v>0</v>
      </c>
      <c r="J322" s="115">
        <f t="shared" si="146"/>
        <v>0</v>
      </c>
      <c r="K322" s="115">
        <f t="shared" si="146"/>
        <v>0</v>
      </c>
      <c r="L322" s="115">
        <f t="shared" si="146"/>
        <v>0</v>
      </c>
      <c r="M322" s="115">
        <f t="shared" si="146"/>
        <v>0</v>
      </c>
      <c r="N322" s="115">
        <f t="shared" si="146"/>
        <v>0</v>
      </c>
      <c r="O322" s="115">
        <f t="shared" si="146"/>
        <v>0</v>
      </c>
      <c r="P322" s="115">
        <f t="shared" si="146"/>
        <v>0</v>
      </c>
      <c r="Q322" s="115">
        <f t="shared" si="146"/>
        <v>0</v>
      </c>
    </row>
    <row r="323" spans="1:17" s="36" customFormat="1" x14ac:dyDescent="0.25">
      <c r="A323" s="111">
        <f t="shared" si="147"/>
        <v>2400</v>
      </c>
      <c r="B323" s="111" t="str">
        <f t="shared" si="147"/>
        <v xml:space="preserve">Parent Coordinator - Middle </v>
      </c>
      <c r="D323" s="115">
        <f t="shared" si="145"/>
        <v>35000</v>
      </c>
      <c r="F323" s="115" t="e">
        <f t="shared" si="146"/>
        <v>#REF!</v>
      </c>
      <c r="G323" s="115" t="e">
        <f t="shared" si="146"/>
        <v>#REF!</v>
      </c>
      <c r="H323" s="115" t="e">
        <f t="shared" si="146"/>
        <v>#REF!</v>
      </c>
      <c r="I323" s="115" t="e">
        <f t="shared" si="146"/>
        <v>#REF!</v>
      </c>
      <c r="J323" s="115" t="e">
        <f t="shared" si="146"/>
        <v>#REF!</v>
      </c>
      <c r="K323" s="115" t="e">
        <f t="shared" si="146"/>
        <v>#REF!</v>
      </c>
      <c r="L323" s="115" t="e">
        <f t="shared" si="146"/>
        <v>#REF!</v>
      </c>
      <c r="M323" s="115" t="e">
        <f t="shared" si="146"/>
        <v>#REF!</v>
      </c>
      <c r="N323" s="115" t="e">
        <f t="shared" si="146"/>
        <v>#REF!</v>
      </c>
      <c r="O323" s="115" t="e">
        <f t="shared" si="146"/>
        <v>#REF!</v>
      </c>
      <c r="P323" s="115" t="e">
        <f t="shared" si="146"/>
        <v>#REF!</v>
      </c>
      <c r="Q323" s="115" t="e">
        <f t="shared" si="146"/>
        <v>#REF!</v>
      </c>
    </row>
    <row r="324" spans="1:17" s="36" customFormat="1" x14ac:dyDescent="0.25">
      <c r="A324" s="111">
        <f t="shared" si="147"/>
        <v>2400</v>
      </c>
      <c r="B324" s="111" t="str">
        <f t="shared" si="147"/>
        <v>Parent Coordinator - High</v>
      </c>
      <c r="D324" s="115">
        <f t="shared" si="145"/>
        <v>35000</v>
      </c>
      <c r="F324" s="115">
        <f t="shared" si="146"/>
        <v>0</v>
      </c>
      <c r="G324" s="115">
        <f t="shared" si="146"/>
        <v>0</v>
      </c>
      <c r="H324" s="115">
        <f t="shared" si="146"/>
        <v>0</v>
      </c>
      <c r="I324" s="115">
        <f t="shared" si="146"/>
        <v>0</v>
      </c>
      <c r="J324" s="115">
        <f t="shared" si="146"/>
        <v>0</v>
      </c>
      <c r="K324" s="115">
        <f t="shared" si="146"/>
        <v>0</v>
      </c>
      <c r="L324" s="115">
        <f t="shared" si="146"/>
        <v>0</v>
      </c>
      <c r="M324" s="115">
        <f t="shared" si="146"/>
        <v>0</v>
      </c>
      <c r="N324" s="115">
        <f t="shared" si="146"/>
        <v>0</v>
      </c>
      <c r="O324" s="115">
        <f t="shared" si="146"/>
        <v>0</v>
      </c>
      <c r="P324" s="115">
        <f t="shared" si="146"/>
        <v>0</v>
      </c>
      <c r="Q324" s="115">
        <f t="shared" si="146"/>
        <v>0</v>
      </c>
    </row>
    <row r="325" spans="1:17" s="36" customFormat="1" x14ac:dyDescent="0.25">
      <c r="A325" s="111">
        <f t="shared" si="147"/>
        <v>2400</v>
      </c>
      <c r="B325" s="111" t="str">
        <f t="shared" si="147"/>
        <v xml:space="preserve">Office Manager - Elementary </v>
      </c>
      <c r="D325" s="115">
        <f t="shared" si="145"/>
        <v>45000</v>
      </c>
      <c r="F325" s="115">
        <f t="shared" si="146"/>
        <v>0</v>
      </c>
      <c r="G325" s="115">
        <f t="shared" si="146"/>
        <v>0</v>
      </c>
      <c r="H325" s="115">
        <f t="shared" si="146"/>
        <v>0</v>
      </c>
      <c r="I325" s="115">
        <f t="shared" si="146"/>
        <v>0</v>
      </c>
      <c r="J325" s="115">
        <f t="shared" si="146"/>
        <v>0</v>
      </c>
      <c r="K325" s="115">
        <f t="shared" si="146"/>
        <v>0</v>
      </c>
      <c r="L325" s="115">
        <f t="shared" si="146"/>
        <v>0</v>
      </c>
      <c r="M325" s="115">
        <f t="shared" si="146"/>
        <v>0</v>
      </c>
      <c r="N325" s="115">
        <f t="shared" si="146"/>
        <v>0</v>
      </c>
      <c r="O325" s="115">
        <f t="shared" si="146"/>
        <v>0</v>
      </c>
      <c r="P325" s="115">
        <f t="shared" si="146"/>
        <v>0</v>
      </c>
      <c r="Q325" s="115">
        <f t="shared" si="146"/>
        <v>0</v>
      </c>
    </row>
    <row r="326" spans="1:17" s="36" customFormat="1" x14ac:dyDescent="0.25">
      <c r="A326" s="111">
        <f t="shared" si="147"/>
        <v>2400</v>
      </c>
      <c r="B326" s="111" t="str">
        <f t="shared" si="147"/>
        <v>Office Manager - Middle</v>
      </c>
      <c r="D326" s="115">
        <f t="shared" si="145"/>
        <v>45000</v>
      </c>
      <c r="F326" s="115" t="e">
        <f t="shared" si="146"/>
        <v>#REF!</v>
      </c>
      <c r="G326" s="115" t="e">
        <f t="shared" si="146"/>
        <v>#REF!</v>
      </c>
      <c r="H326" s="115" t="e">
        <f t="shared" si="146"/>
        <v>#REF!</v>
      </c>
      <c r="I326" s="115" t="e">
        <f t="shared" si="146"/>
        <v>#REF!</v>
      </c>
      <c r="J326" s="115" t="e">
        <f t="shared" si="146"/>
        <v>#REF!</v>
      </c>
      <c r="K326" s="115" t="e">
        <f t="shared" si="146"/>
        <v>#REF!</v>
      </c>
      <c r="L326" s="115" t="e">
        <f t="shared" si="146"/>
        <v>#REF!</v>
      </c>
      <c r="M326" s="115" t="e">
        <f t="shared" si="146"/>
        <v>#REF!</v>
      </c>
      <c r="N326" s="115" t="e">
        <f t="shared" si="146"/>
        <v>#REF!</v>
      </c>
      <c r="O326" s="115" t="e">
        <f t="shared" si="146"/>
        <v>#REF!</v>
      </c>
      <c r="P326" s="115" t="e">
        <f t="shared" si="146"/>
        <v>#REF!</v>
      </c>
      <c r="Q326" s="115" t="e">
        <f t="shared" si="146"/>
        <v>#REF!</v>
      </c>
    </row>
    <row r="327" spans="1:17" s="36" customFormat="1" x14ac:dyDescent="0.25">
      <c r="A327" s="111">
        <f t="shared" si="147"/>
        <v>2400</v>
      </c>
      <c r="B327" s="111" t="str">
        <f t="shared" si="147"/>
        <v>Office Manager - High</v>
      </c>
      <c r="D327" s="115">
        <f t="shared" si="145"/>
        <v>45000</v>
      </c>
      <c r="F327" s="115">
        <f t="shared" si="146"/>
        <v>0</v>
      </c>
      <c r="G327" s="115">
        <f t="shared" si="146"/>
        <v>0</v>
      </c>
      <c r="H327" s="115">
        <f t="shared" si="146"/>
        <v>0</v>
      </c>
      <c r="I327" s="115">
        <f t="shared" si="146"/>
        <v>0</v>
      </c>
      <c r="J327" s="115">
        <f t="shared" si="146"/>
        <v>0</v>
      </c>
      <c r="K327" s="115">
        <f t="shared" si="146"/>
        <v>0</v>
      </c>
      <c r="L327" s="115">
        <f t="shared" si="146"/>
        <v>0</v>
      </c>
      <c r="M327" s="115">
        <f t="shared" si="146"/>
        <v>0</v>
      </c>
      <c r="N327" s="115">
        <f t="shared" si="146"/>
        <v>0</v>
      </c>
      <c r="O327" s="115">
        <f t="shared" si="146"/>
        <v>0</v>
      </c>
      <c r="P327" s="115">
        <f t="shared" si="146"/>
        <v>0</v>
      </c>
      <c r="Q327" s="115">
        <f t="shared" si="146"/>
        <v>0</v>
      </c>
    </row>
    <row r="328" spans="1:17" s="36" customFormat="1" x14ac:dyDescent="0.25">
      <c r="A328" s="111">
        <f t="shared" si="147"/>
        <v>2400</v>
      </c>
      <c r="B328" s="111" t="str">
        <f t="shared" si="147"/>
        <v xml:space="preserve">Operations Manager - Elementary </v>
      </c>
      <c r="D328" s="115">
        <f t="shared" si="145"/>
        <v>60000</v>
      </c>
      <c r="F328" s="115">
        <f t="shared" si="146"/>
        <v>0</v>
      </c>
      <c r="G328" s="115">
        <f t="shared" si="146"/>
        <v>0</v>
      </c>
      <c r="H328" s="115">
        <f t="shared" si="146"/>
        <v>0</v>
      </c>
      <c r="I328" s="115">
        <f t="shared" si="146"/>
        <v>0</v>
      </c>
      <c r="J328" s="115">
        <f t="shared" si="146"/>
        <v>0</v>
      </c>
      <c r="K328" s="115">
        <f t="shared" si="146"/>
        <v>0</v>
      </c>
      <c r="L328" s="115">
        <f t="shared" si="146"/>
        <v>0</v>
      </c>
      <c r="M328" s="115">
        <f t="shared" si="146"/>
        <v>0</v>
      </c>
      <c r="N328" s="115">
        <f t="shared" si="146"/>
        <v>0</v>
      </c>
      <c r="O328" s="115">
        <f t="shared" si="146"/>
        <v>0</v>
      </c>
      <c r="P328" s="115">
        <f t="shared" si="146"/>
        <v>0</v>
      </c>
      <c r="Q328" s="115">
        <f t="shared" si="146"/>
        <v>0</v>
      </c>
    </row>
    <row r="329" spans="1:17" s="36" customFormat="1" x14ac:dyDescent="0.25">
      <c r="A329" s="111">
        <f t="shared" si="147"/>
        <v>2400</v>
      </c>
      <c r="B329" s="111" t="str">
        <f t="shared" si="147"/>
        <v>Operations Manager - Middle</v>
      </c>
      <c r="D329" s="115">
        <f t="shared" si="145"/>
        <v>60000</v>
      </c>
      <c r="F329" s="115" t="e">
        <f t="shared" si="146"/>
        <v>#REF!</v>
      </c>
      <c r="G329" s="115" t="e">
        <f t="shared" si="146"/>
        <v>#REF!</v>
      </c>
      <c r="H329" s="115" t="e">
        <f t="shared" si="146"/>
        <v>#REF!</v>
      </c>
      <c r="I329" s="115" t="e">
        <f t="shared" si="146"/>
        <v>#REF!</v>
      </c>
      <c r="J329" s="115" t="e">
        <f t="shared" si="146"/>
        <v>#REF!</v>
      </c>
      <c r="K329" s="115" t="e">
        <f t="shared" si="146"/>
        <v>#REF!</v>
      </c>
      <c r="L329" s="115" t="e">
        <f t="shared" si="146"/>
        <v>#REF!</v>
      </c>
      <c r="M329" s="115" t="e">
        <f t="shared" si="146"/>
        <v>#REF!</v>
      </c>
      <c r="N329" s="115" t="e">
        <f t="shared" si="146"/>
        <v>#REF!</v>
      </c>
      <c r="O329" s="115" t="e">
        <f t="shared" si="146"/>
        <v>#REF!</v>
      </c>
      <c r="P329" s="115" t="e">
        <f t="shared" si="146"/>
        <v>#REF!</v>
      </c>
      <c r="Q329" s="115" t="e">
        <f t="shared" si="146"/>
        <v>#REF!</v>
      </c>
    </row>
    <row r="330" spans="1:17" s="36" customFormat="1" x14ac:dyDescent="0.25">
      <c r="A330" s="111">
        <f t="shared" si="147"/>
        <v>2400</v>
      </c>
      <c r="B330" s="111" t="str">
        <f t="shared" si="147"/>
        <v>Operations Manager - High</v>
      </c>
      <c r="D330" s="115">
        <f t="shared" si="145"/>
        <v>60000</v>
      </c>
      <c r="F330" s="115">
        <f t="shared" si="146"/>
        <v>0</v>
      </c>
      <c r="G330" s="115">
        <f t="shared" si="146"/>
        <v>0</v>
      </c>
      <c r="H330" s="115">
        <f t="shared" si="146"/>
        <v>0</v>
      </c>
      <c r="I330" s="115">
        <f t="shared" si="146"/>
        <v>0</v>
      </c>
      <c r="J330" s="115">
        <f t="shared" si="146"/>
        <v>0</v>
      </c>
      <c r="K330" s="115">
        <f t="shared" si="146"/>
        <v>0</v>
      </c>
      <c r="L330" s="115">
        <f t="shared" si="146"/>
        <v>0</v>
      </c>
      <c r="M330" s="115">
        <f t="shared" si="146"/>
        <v>0</v>
      </c>
      <c r="N330" s="115">
        <f t="shared" si="146"/>
        <v>0</v>
      </c>
      <c r="O330" s="115">
        <f t="shared" si="146"/>
        <v>0</v>
      </c>
      <c r="P330" s="115">
        <f t="shared" si="146"/>
        <v>0</v>
      </c>
      <c r="Q330" s="115">
        <f t="shared" si="146"/>
        <v>0</v>
      </c>
    </row>
    <row r="331" spans="1:17" s="36" customFormat="1" x14ac:dyDescent="0.25">
      <c r="A331" s="111">
        <f t="shared" si="147"/>
        <v>2400</v>
      </c>
      <c r="B331" s="111" t="str">
        <f t="shared" si="147"/>
        <v>Administrative Assistant - Elementary</v>
      </c>
      <c r="D331" s="115">
        <f t="shared" si="145"/>
        <v>25000</v>
      </c>
      <c r="F331" s="115">
        <f t="shared" si="146"/>
        <v>0</v>
      </c>
      <c r="G331" s="115">
        <f t="shared" si="146"/>
        <v>0</v>
      </c>
      <c r="H331" s="115">
        <f t="shared" si="146"/>
        <v>0</v>
      </c>
      <c r="I331" s="115">
        <f t="shared" si="146"/>
        <v>0</v>
      </c>
      <c r="J331" s="115">
        <f t="shared" si="146"/>
        <v>0</v>
      </c>
      <c r="K331" s="115">
        <f t="shared" si="146"/>
        <v>0</v>
      </c>
      <c r="L331" s="115">
        <f t="shared" si="146"/>
        <v>0</v>
      </c>
      <c r="M331" s="115">
        <f t="shared" si="146"/>
        <v>0</v>
      </c>
      <c r="N331" s="115">
        <f t="shared" si="146"/>
        <v>0</v>
      </c>
      <c r="O331" s="115">
        <f t="shared" si="146"/>
        <v>0</v>
      </c>
      <c r="P331" s="115">
        <f t="shared" si="146"/>
        <v>0</v>
      </c>
      <c r="Q331" s="115">
        <f t="shared" si="146"/>
        <v>0</v>
      </c>
    </row>
    <row r="332" spans="1:17" s="36" customFormat="1" x14ac:dyDescent="0.25">
      <c r="A332" s="111">
        <f t="shared" si="147"/>
        <v>2400</v>
      </c>
      <c r="B332" s="111" t="str">
        <f t="shared" si="147"/>
        <v>Administrative Assistant - Middle</v>
      </c>
      <c r="D332" s="115">
        <f t="shared" si="145"/>
        <v>25000</v>
      </c>
      <c r="F332" s="115" t="e">
        <f t="shared" ref="F332:Q347" si="148">$D332*(1+E$5)*F204</f>
        <v>#REF!</v>
      </c>
      <c r="G332" s="115" t="e">
        <f t="shared" si="148"/>
        <v>#REF!</v>
      </c>
      <c r="H332" s="115" t="e">
        <f t="shared" si="148"/>
        <v>#REF!</v>
      </c>
      <c r="I332" s="115" t="e">
        <f t="shared" si="148"/>
        <v>#REF!</v>
      </c>
      <c r="J332" s="115" t="e">
        <f t="shared" si="148"/>
        <v>#REF!</v>
      </c>
      <c r="K332" s="115" t="e">
        <f t="shared" si="148"/>
        <v>#REF!</v>
      </c>
      <c r="L332" s="115" t="e">
        <f t="shared" si="148"/>
        <v>#REF!</v>
      </c>
      <c r="M332" s="115" t="e">
        <f t="shared" si="148"/>
        <v>#REF!</v>
      </c>
      <c r="N332" s="115" t="e">
        <f t="shared" si="148"/>
        <v>#REF!</v>
      </c>
      <c r="O332" s="115" t="e">
        <f t="shared" si="148"/>
        <v>#REF!</v>
      </c>
      <c r="P332" s="115" t="e">
        <f t="shared" si="148"/>
        <v>#REF!</v>
      </c>
      <c r="Q332" s="115" t="e">
        <f t="shared" si="148"/>
        <v>#REF!</v>
      </c>
    </row>
    <row r="333" spans="1:17" s="36" customFormat="1" x14ac:dyDescent="0.25">
      <c r="A333" s="111">
        <f t="shared" ref="A333:B348" si="149">A205</f>
        <v>2400</v>
      </c>
      <c r="B333" s="111" t="str">
        <f t="shared" si="149"/>
        <v>Administrative Assistant - High School</v>
      </c>
      <c r="D333" s="115">
        <f t="shared" si="145"/>
        <v>25000</v>
      </c>
      <c r="F333" s="115">
        <f t="shared" si="148"/>
        <v>0</v>
      </c>
      <c r="G333" s="115">
        <f t="shared" si="148"/>
        <v>0</v>
      </c>
      <c r="H333" s="115">
        <f t="shared" si="148"/>
        <v>0</v>
      </c>
      <c r="I333" s="115">
        <f t="shared" si="148"/>
        <v>0</v>
      </c>
      <c r="J333" s="115">
        <f t="shared" si="148"/>
        <v>0</v>
      </c>
      <c r="K333" s="115">
        <f t="shared" si="148"/>
        <v>0</v>
      </c>
      <c r="L333" s="115">
        <f t="shared" si="148"/>
        <v>0</v>
      </c>
      <c r="M333" s="115">
        <f t="shared" si="148"/>
        <v>0</v>
      </c>
      <c r="N333" s="115">
        <f t="shared" si="148"/>
        <v>0</v>
      </c>
      <c r="O333" s="115">
        <f t="shared" si="148"/>
        <v>0</v>
      </c>
      <c r="P333" s="115">
        <f t="shared" si="148"/>
        <v>0</v>
      </c>
      <c r="Q333" s="115">
        <f t="shared" si="148"/>
        <v>0</v>
      </c>
    </row>
    <row r="334" spans="1:17" s="36" customFormat="1" x14ac:dyDescent="0.25">
      <c r="A334" s="111">
        <f t="shared" si="149"/>
        <v>2400</v>
      </c>
      <c r="B334" s="111" t="str">
        <f t="shared" si="149"/>
        <v>Nurse</v>
      </c>
      <c r="D334" s="115">
        <f t="shared" si="145"/>
        <v>50000</v>
      </c>
      <c r="F334" s="115">
        <f t="shared" si="148"/>
        <v>0</v>
      </c>
      <c r="G334" s="115">
        <f t="shared" si="148"/>
        <v>0</v>
      </c>
      <c r="H334" s="115">
        <f t="shared" si="148"/>
        <v>0</v>
      </c>
      <c r="I334" s="115">
        <f t="shared" si="148"/>
        <v>0</v>
      </c>
      <c r="J334" s="115">
        <f t="shared" si="148"/>
        <v>0</v>
      </c>
      <c r="K334" s="115">
        <f t="shared" si="148"/>
        <v>0</v>
      </c>
      <c r="L334" s="115">
        <f t="shared" si="148"/>
        <v>0</v>
      </c>
      <c r="M334" s="115">
        <f t="shared" si="148"/>
        <v>0</v>
      </c>
      <c r="N334" s="115">
        <f t="shared" si="148"/>
        <v>0</v>
      </c>
      <c r="O334" s="115">
        <f t="shared" si="148"/>
        <v>0</v>
      </c>
      <c r="P334" s="115">
        <f t="shared" si="148"/>
        <v>0</v>
      </c>
      <c r="Q334" s="115">
        <f t="shared" si="148"/>
        <v>0</v>
      </c>
    </row>
    <row r="335" spans="1:17" s="36" customFormat="1" x14ac:dyDescent="0.25">
      <c r="A335" s="111">
        <f t="shared" si="149"/>
        <v>2400</v>
      </c>
      <c r="B335" s="111" t="str">
        <f t="shared" si="149"/>
        <v>Nurse</v>
      </c>
      <c r="D335" s="115">
        <f t="shared" si="145"/>
        <v>50000</v>
      </c>
      <c r="F335" s="115">
        <f t="shared" si="148"/>
        <v>0</v>
      </c>
      <c r="G335" s="115">
        <f t="shared" si="148"/>
        <v>0</v>
      </c>
      <c r="H335" s="115">
        <f t="shared" si="148"/>
        <v>0</v>
      </c>
      <c r="I335" s="115">
        <f t="shared" si="148"/>
        <v>0</v>
      </c>
      <c r="J335" s="115">
        <f t="shared" si="148"/>
        <v>0</v>
      </c>
      <c r="K335" s="115">
        <f t="shared" si="148"/>
        <v>0</v>
      </c>
      <c r="L335" s="115">
        <f t="shared" si="148"/>
        <v>0</v>
      </c>
      <c r="M335" s="115">
        <f t="shared" si="148"/>
        <v>0</v>
      </c>
      <c r="N335" s="115">
        <f t="shared" si="148"/>
        <v>0</v>
      </c>
      <c r="O335" s="115">
        <f t="shared" si="148"/>
        <v>0</v>
      </c>
      <c r="P335" s="115">
        <f t="shared" si="148"/>
        <v>0</v>
      </c>
      <c r="Q335" s="115">
        <f t="shared" si="148"/>
        <v>0</v>
      </c>
    </row>
    <row r="336" spans="1:17" s="36" customFormat="1" x14ac:dyDescent="0.25">
      <c r="A336" s="111">
        <f t="shared" si="149"/>
        <v>1300</v>
      </c>
      <c r="B336" s="111" t="str">
        <f t="shared" si="149"/>
        <v>School Counselor/Social Worker</v>
      </c>
      <c r="D336" s="115">
        <f t="shared" si="145"/>
        <v>55000</v>
      </c>
      <c r="F336" s="115">
        <f t="shared" si="148"/>
        <v>0</v>
      </c>
      <c r="G336" s="115">
        <f t="shared" si="148"/>
        <v>0</v>
      </c>
      <c r="H336" s="115">
        <f t="shared" si="148"/>
        <v>0</v>
      </c>
      <c r="I336" s="115">
        <f t="shared" si="148"/>
        <v>0</v>
      </c>
      <c r="J336" s="115">
        <f t="shared" si="148"/>
        <v>0</v>
      </c>
      <c r="K336" s="115">
        <f t="shared" si="148"/>
        <v>0</v>
      </c>
      <c r="L336" s="115">
        <f t="shared" si="148"/>
        <v>0</v>
      </c>
      <c r="M336" s="115">
        <f t="shared" si="148"/>
        <v>0</v>
      </c>
      <c r="N336" s="115">
        <f t="shared" si="148"/>
        <v>0</v>
      </c>
      <c r="O336" s="115">
        <f t="shared" si="148"/>
        <v>0</v>
      </c>
      <c r="P336" s="115">
        <f t="shared" si="148"/>
        <v>0</v>
      </c>
      <c r="Q336" s="115">
        <f t="shared" si="148"/>
        <v>0</v>
      </c>
    </row>
    <row r="337" spans="1:17" s="36" customFormat="1" x14ac:dyDescent="0.25">
      <c r="A337" s="111">
        <f t="shared" si="149"/>
        <v>1300</v>
      </c>
      <c r="B337" s="111" t="str">
        <f t="shared" si="149"/>
        <v xml:space="preserve">School Psychologist (when MS comes on) </v>
      </c>
      <c r="D337" s="115">
        <f t="shared" si="145"/>
        <v>80000</v>
      </c>
      <c r="F337" s="115" t="e">
        <f t="shared" si="148"/>
        <v>#REF!</v>
      </c>
      <c r="G337" s="115" t="e">
        <f t="shared" si="148"/>
        <v>#REF!</v>
      </c>
      <c r="H337" s="115" t="e">
        <f t="shared" si="148"/>
        <v>#REF!</v>
      </c>
      <c r="I337" s="115" t="e">
        <f t="shared" si="148"/>
        <v>#REF!</v>
      </c>
      <c r="J337" s="115" t="e">
        <f t="shared" si="148"/>
        <v>#REF!</v>
      </c>
      <c r="K337" s="115" t="e">
        <f t="shared" si="148"/>
        <v>#REF!</v>
      </c>
      <c r="L337" s="115" t="e">
        <f t="shared" si="148"/>
        <v>#REF!</v>
      </c>
      <c r="M337" s="115" t="e">
        <f t="shared" si="148"/>
        <v>#REF!</v>
      </c>
      <c r="N337" s="115" t="e">
        <f t="shared" si="148"/>
        <v>#REF!</v>
      </c>
      <c r="O337" s="115" t="e">
        <f t="shared" si="148"/>
        <v>#REF!</v>
      </c>
      <c r="P337" s="115" t="e">
        <f t="shared" si="148"/>
        <v>#REF!</v>
      </c>
      <c r="Q337" s="115" t="e">
        <f t="shared" si="148"/>
        <v>#REF!</v>
      </c>
    </row>
    <row r="338" spans="1:17" s="36" customFormat="1" x14ac:dyDescent="0.25">
      <c r="A338" s="111">
        <f t="shared" si="149"/>
        <v>1300</v>
      </c>
      <c r="B338" s="111" t="str">
        <f t="shared" si="149"/>
        <v>School Psychologist - HS</v>
      </c>
      <c r="D338" s="115">
        <f t="shared" si="145"/>
        <v>80000</v>
      </c>
      <c r="F338" s="115">
        <f t="shared" si="148"/>
        <v>0</v>
      </c>
      <c r="G338" s="115">
        <f t="shared" si="148"/>
        <v>0</v>
      </c>
      <c r="H338" s="115">
        <f t="shared" si="148"/>
        <v>0</v>
      </c>
      <c r="I338" s="115">
        <f t="shared" si="148"/>
        <v>0</v>
      </c>
      <c r="J338" s="115">
        <f t="shared" si="148"/>
        <v>0</v>
      </c>
      <c r="K338" s="115">
        <f t="shared" si="148"/>
        <v>0</v>
      </c>
      <c r="L338" s="115">
        <f t="shared" si="148"/>
        <v>0</v>
      </c>
      <c r="M338" s="115">
        <f t="shared" si="148"/>
        <v>0</v>
      </c>
      <c r="N338" s="115">
        <f t="shared" si="148"/>
        <v>0</v>
      </c>
      <c r="O338" s="115">
        <f t="shared" si="148"/>
        <v>0</v>
      </c>
      <c r="P338" s="115">
        <f t="shared" si="148"/>
        <v>0</v>
      </c>
      <c r="Q338" s="115">
        <f t="shared" si="148"/>
        <v>0</v>
      </c>
    </row>
    <row r="339" spans="1:17" s="36" customFormat="1" x14ac:dyDescent="0.25">
      <c r="A339" s="111">
        <f t="shared" si="149"/>
        <v>1300</v>
      </c>
      <c r="B339" s="111" t="str">
        <f t="shared" si="149"/>
        <v xml:space="preserve">College Counselor - HS </v>
      </c>
      <c r="D339" s="115">
        <f t="shared" si="145"/>
        <v>50000</v>
      </c>
      <c r="F339" s="115">
        <f t="shared" si="148"/>
        <v>0</v>
      </c>
      <c r="G339" s="115">
        <f t="shared" si="148"/>
        <v>0</v>
      </c>
      <c r="H339" s="115">
        <f t="shared" si="148"/>
        <v>0</v>
      </c>
      <c r="I339" s="115">
        <f t="shared" si="148"/>
        <v>0</v>
      </c>
      <c r="J339" s="115">
        <f t="shared" si="148"/>
        <v>0</v>
      </c>
      <c r="K339" s="115">
        <f t="shared" si="148"/>
        <v>0</v>
      </c>
      <c r="L339" s="115">
        <f t="shared" si="148"/>
        <v>0</v>
      </c>
      <c r="M339" s="115">
        <f t="shared" si="148"/>
        <v>0</v>
      </c>
      <c r="N339" s="115">
        <f t="shared" si="148"/>
        <v>0</v>
      </c>
      <c r="O339" s="115">
        <f t="shared" si="148"/>
        <v>0</v>
      </c>
      <c r="P339" s="115">
        <f t="shared" si="148"/>
        <v>0</v>
      </c>
      <c r="Q339" s="115">
        <f t="shared" si="148"/>
        <v>0</v>
      </c>
    </row>
    <row r="340" spans="1:17" s="36" customFormat="1" x14ac:dyDescent="0.25">
      <c r="A340" s="111">
        <f t="shared" si="149"/>
        <v>1110</v>
      </c>
      <c r="B340" s="111" t="str">
        <f t="shared" si="149"/>
        <v>Kindergarten Teacher</v>
      </c>
      <c r="D340" s="115">
        <f t="shared" si="145"/>
        <v>52000</v>
      </c>
      <c r="F340" s="115">
        <f t="shared" si="148"/>
        <v>0</v>
      </c>
      <c r="G340" s="115">
        <f t="shared" si="148"/>
        <v>0</v>
      </c>
      <c r="H340" s="115">
        <f t="shared" si="148"/>
        <v>0</v>
      </c>
      <c r="I340" s="115">
        <f t="shared" si="148"/>
        <v>0</v>
      </c>
      <c r="J340" s="115">
        <f t="shared" si="148"/>
        <v>0</v>
      </c>
      <c r="K340" s="115">
        <f t="shared" si="148"/>
        <v>0</v>
      </c>
      <c r="L340" s="115">
        <f t="shared" si="148"/>
        <v>0</v>
      </c>
      <c r="M340" s="115">
        <f t="shared" si="148"/>
        <v>0</v>
      </c>
      <c r="N340" s="115">
        <f t="shared" si="148"/>
        <v>0</v>
      </c>
      <c r="O340" s="115">
        <f t="shared" si="148"/>
        <v>0</v>
      </c>
      <c r="P340" s="115">
        <f t="shared" si="148"/>
        <v>0</v>
      </c>
      <c r="Q340" s="115">
        <f t="shared" si="148"/>
        <v>0</v>
      </c>
    </row>
    <row r="341" spans="1:17" s="36" customFormat="1" x14ac:dyDescent="0.25">
      <c r="A341" s="111">
        <f t="shared" si="149"/>
        <v>1110</v>
      </c>
      <c r="B341" s="111" t="str">
        <f t="shared" si="149"/>
        <v>Kindergarten Teacher</v>
      </c>
      <c r="D341" s="115">
        <f t="shared" si="145"/>
        <v>52000</v>
      </c>
      <c r="F341" s="115">
        <f t="shared" si="148"/>
        <v>0</v>
      </c>
      <c r="G341" s="115">
        <f t="shared" si="148"/>
        <v>0</v>
      </c>
      <c r="H341" s="115">
        <f t="shared" si="148"/>
        <v>0</v>
      </c>
      <c r="I341" s="115">
        <f t="shared" si="148"/>
        <v>0</v>
      </c>
      <c r="J341" s="115">
        <f t="shared" si="148"/>
        <v>0</v>
      </c>
      <c r="K341" s="115">
        <f t="shared" si="148"/>
        <v>0</v>
      </c>
      <c r="L341" s="115">
        <f t="shared" si="148"/>
        <v>0</v>
      </c>
      <c r="M341" s="115">
        <f t="shared" si="148"/>
        <v>0</v>
      </c>
      <c r="N341" s="115">
        <f t="shared" si="148"/>
        <v>0</v>
      </c>
      <c r="O341" s="115">
        <f t="shared" si="148"/>
        <v>0</v>
      </c>
      <c r="P341" s="115">
        <f t="shared" si="148"/>
        <v>0</v>
      </c>
      <c r="Q341" s="115">
        <f t="shared" si="148"/>
        <v>0</v>
      </c>
    </row>
    <row r="342" spans="1:17" s="36" customFormat="1" x14ac:dyDescent="0.25">
      <c r="A342" s="111">
        <f t="shared" si="149"/>
        <v>1110</v>
      </c>
      <c r="B342" s="111" t="str">
        <f t="shared" si="149"/>
        <v>Kindergarten Teacher</v>
      </c>
      <c r="D342" s="115">
        <f t="shared" si="145"/>
        <v>52000</v>
      </c>
      <c r="F342" s="115">
        <f t="shared" si="148"/>
        <v>0</v>
      </c>
      <c r="G342" s="115">
        <f t="shared" si="148"/>
        <v>0</v>
      </c>
      <c r="H342" s="115">
        <f t="shared" si="148"/>
        <v>0</v>
      </c>
      <c r="I342" s="115">
        <f t="shared" si="148"/>
        <v>0</v>
      </c>
      <c r="J342" s="115">
        <f t="shared" si="148"/>
        <v>0</v>
      </c>
      <c r="K342" s="115">
        <f t="shared" si="148"/>
        <v>0</v>
      </c>
      <c r="L342" s="115">
        <f t="shared" si="148"/>
        <v>0</v>
      </c>
      <c r="M342" s="115">
        <f t="shared" si="148"/>
        <v>0</v>
      </c>
      <c r="N342" s="115">
        <f t="shared" si="148"/>
        <v>0</v>
      </c>
      <c r="O342" s="115">
        <f t="shared" si="148"/>
        <v>0</v>
      </c>
      <c r="P342" s="115">
        <f t="shared" si="148"/>
        <v>0</v>
      </c>
      <c r="Q342" s="115">
        <f t="shared" si="148"/>
        <v>0</v>
      </c>
    </row>
    <row r="343" spans="1:17" s="36" customFormat="1" x14ac:dyDescent="0.25">
      <c r="A343" s="111">
        <f t="shared" si="149"/>
        <v>1110</v>
      </c>
      <c r="B343" s="111" t="str">
        <f t="shared" si="149"/>
        <v>Kindergarten Teacher</v>
      </c>
      <c r="D343" s="115">
        <f t="shared" si="145"/>
        <v>52000</v>
      </c>
      <c r="F343" s="115">
        <f t="shared" si="148"/>
        <v>0</v>
      </c>
      <c r="G343" s="115">
        <f t="shared" si="148"/>
        <v>0</v>
      </c>
      <c r="H343" s="115">
        <f t="shared" si="148"/>
        <v>0</v>
      </c>
      <c r="I343" s="115">
        <f t="shared" si="148"/>
        <v>0</v>
      </c>
      <c r="J343" s="115">
        <f t="shared" si="148"/>
        <v>0</v>
      </c>
      <c r="K343" s="115">
        <f t="shared" si="148"/>
        <v>0</v>
      </c>
      <c r="L343" s="115">
        <f t="shared" si="148"/>
        <v>0</v>
      </c>
      <c r="M343" s="115">
        <f t="shared" si="148"/>
        <v>0</v>
      </c>
      <c r="N343" s="115">
        <f t="shared" si="148"/>
        <v>0</v>
      </c>
      <c r="O343" s="115">
        <f t="shared" si="148"/>
        <v>0</v>
      </c>
      <c r="P343" s="115">
        <f t="shared" si="148"/>
        <v>0</v>
      </c>
      <c r="Q343" s="115">
        <f t="shared" si="148"/>
        <v>0</v>
      </c>
    </row>
    <row r="344" spans="1:17" s="36" customFormat="1" x14ac:dyDescent="0.25">
      <c r="A344" s="111">
        <f t="shared" si="149"/>
        <v>1110</v>
      </c>
      <c r="B344" s="111" t="str">
        <f t="shared" si="149"/>
        <v>Kindergarten Teacher</v>
      </c>
      <c r="D344" s="115">
        <f t="shared" si="145"/>
        <v>52000</v>
      </c>
      <c r="F344" s="115">
        <f t="shared" si="148"/>
        <v>0</v>
      </c>
      <c r="G344" s="115">
        <f t="shared" si="148"/>
        <v>0</v>
      </c>
      <c r="H344" s="115">
        <f t="shared" si="148"/>
        <v>0</v>
      </c>
      <c r="I344" s="115">
        <f t="shared" si="148"/>
        <v>0</v>
      </c>
      <c r="J344" s="115">
        <f t="shared" si="148"/>
        <v>0</v>
      </c>
      <c r="K344" s="115">
        <f t="shared" si="148"/>
        <v>0</v>
      </c>
      <c r="L344" s="115">
        <f t="shared" si="148"/>
        <v>0</v>
      </c>
      <c r="M344" s="115">
        <f t="shared" si="148"/>
        <v>0</v>
      </c>
      <c r="N344" s="115">
        <f t="shared" si="148"/>
        <v>0</v>
      </c>
      <c r="O344" s="115">
        <f t="shared" si="148"/>
        <v>0</v>
      </c>
      <c r="P344" s="115">
        <f t="shared" si="148"/>
        <v>0</v>
      </c>
      <c r="Q344" s="115">
        <f t="shared" si="148"/>
        <v>0</v>
      </c>
    </row>
    <row r="345" spans="1:17" s="36" customFormat="1" x14ac:dyDescent="0.25">
      <c r="A345" s="111">
        <f t="shared" si="149"/>
        <v>1110</v>
      </c>
      <c r="B345" s="111" t="str">
        <f t="shared" si="149"/>
        <v>1st Grade Teacher</v>
      </c>
      <c r="D345" s="115">
        <f t="shared" si="145"/>
        <v>52000</v>
      </c>
      <c r="F345" s="115">
        <f t="shared" si="148"/>
        <v>0</v>
      </c>
      <c r="G345" s="115">
        <f t="shared" si="148"/>
        <v>0</v>
      </c>
      <c r="H345" s="115">
        <f t="shared" si="148"/>
        <v>0</v>
      </c>
      <c r="I345" s="115">
        <f t="shared" si="148"/>
        <v>0</v>
      </c>
      <c r="J345" s="115">
        <f t="shared" si="148"/>
        <v>0</v>
      </c>
      <c r="K345" s="115">
        <f t="shared" si="148"/>
        <v>0</v>
      </c>
      <c r="L345" s="115">
        <f t="shared" si="148"/>
        <v>0</v>
      </c>
      <c r="M345" s="115">
        <f t="shared" si="148"/>
        <v>0</v>
      </c>
      <c r="N345" s="115">
        <f t="shared" si="148"/>
        <v>0</v>
      </c>
      <c r="O345" s="115">
        <f t="shared" si="148"/>
        <v>0</v>
      </c>
      <c r="P345" s="115">
        <f t="shared" si="148"/>
        <v>0</v>
      </c>
      <c r="Q345" s="115">
        <f t="shared" si="148"/>
        <v>0</v>
      </c>
    </row>
    <row r="346" spans="1:17" s="36" customFormat="1" x14ac:dyDescent="0.25">
      <c r="A346" s="111">
        <f t="shared" si="149"/>
        <v>1110</v>
      </c>
      <c r="B346" s="111" t="str">
        <f t="shared" si="149"/>
        <v>1st Grade Teacher</v>
      </c>
      <c r="D346" s="115">
        <f t="shared" si="145"/>
        <v>52000</v>
      </c>
      <c r="F346" s="115">
        <f t="shared" si="148"/>
        <v>0</v>
      </c>
      <c r="G346" s="115">
        <f t="shared" si="148"/>
        <v>0</v>
      </c>
      <c r="H346" s="115">
        <f t="shared" si="148"/>
        <v>0</v>
      </c>
      <c r="I346" s="115">
        <f t="shared" si="148"/>
        <v>0</v>
      </c>
      <c r="J346" s="115">
        <f t="shared" si="148"/>
        <v>0</v>
      </c>
      <c r="K346" s="115">
        <f t="shared" si="148"/>
        <v>0</v>
      </c>
      <c r="L346" s="115">
        <f t="shared" si="148"/>
        <v>0</v>
      </c>
      <c r="M346" s="115">
        <f t="shared" si="148"/>
        <v>0</v>
      </c>
      <c r="N346" s="115">
        <f t="shared" si="148"/>
        <v>0</v>
      </c>
      <c r="O346" s="115">
        <f t="shared" si="148"/>
        <v>0</v>
      </c>
      <c r="P346" s="115">
        <f t="shared" si="148"/>
        <v>0</v>
      </c>
      <c r="Q346" s="115">
        <f t="shared" si="148"/>
        <v>0</v>
      </c>
    </row>
    <row r="347" spans="1:17" s="36" customFormat="1" x14ac:dyDescent="0.25">
      <c r="A347" s="111">
        <f t="shared" si="149"/>
        <v>1110</v>
      </c>
      <c r="B347" s="111" t="str">
        <f t="shared" si="149"/>
        <v>1st Grade Teacher</v>
      </c>
      <c r="D347" s="115">
        <f t="shared" si="145"/>
        <v>52000</v>
      </c>
      <c r="F347" s="115">
        <f t="shared" si="148"/>
        <v>0</v>
      </c>
      <c r="G347" s="115">
        <f t="shared" si="148"/>
        <v>0</v>
      </c>
      <c r="H347" s="115">
        <f t="shared" si="148"/>
        <v>0</v>
      </c>
      <c r="I347" s="115">
        <f t="shared" si="148"/>
        <v>0</v>
      </c>
      <c r="J347" s="115">
        <f t="shared" si="148"/>
        <v>0</v>
      </c>
      <c r="K347" s="115">
        <f t="shared" si="148"/>
        <v>0</v>
      </c>
      <c r="L347" s="115">
        <f t="shared" si="148"/>
        <v>0</v>
      </c>
      <c r="M347" s="115">
        <f t="shared" si="148"/>
        <v>0</v>
      </c>
      <c r="N347" s="115">
        <f t="shared" si="148"/>
        <v>0</v>
      </c>
      <c r="O347" s="115">
        <f t="shared" si="148"/>
        <v>0</v>
      </c>
      <c r="P347" s="115">
        <f t="shared" si="148"/>
        <v>0</v>
      </c>
      <c r="Q347" s="115">
        <f t="shared" si="148"/>
        <v>0</v>
      </c>
    </row>
    <row r="348" spans="1:17" s="36" customFormat="1" x14ac:dyDescent="0.25">
      <c r="A348" s="111">
        <f t="shared" si="149"/>
        <v>1110</v>
      </c>
      <c r="B348" s="111" t="str">
        <f t="shared" si="149"/>
        <v>1st Grade Teacher</v>
      </c>
      <c r="D348" s="115">
        <f t="shared" si="145"/>
        <v>52000</v>
      </c>
      <c r="F348" s="115">
        <f t="shared" ref="F348:Q363" si="150">$D348*(1+E$5)*F220</f>
        <v>0</v>
      </c>
      <c r="G348" s="115">
        <f t="shared" si="150"/>
        <v>0</v>
      </c>
      <c r="H348" s="115">
        <f t="shared" si="150"/>
        <v>0</v>
      </c>
      <c r="I348" s="115">
        <f t="shared" si="150"/>
        <v>0</v>
      </c>
      <c r="J348" s="115">
        <f t="shared" si="150"/>
        <v>0</v>
      </c>
      <c r="K348" s="115">
        <f t="shared" si="150"/>
        <v>0</v>
      </c>
      <c r="L348" s="115">
        <f t="shared" si="150"/>
        <v>0</v>
      </c>
      <c r="M348" s="115">
        <f t="shared" si="150"/>
        <v>0</v>
      </c>
      <c r="N348" s="115">
        <f t="shared" si="150"/>
        <v>0</v>
      </c>
      <c r="O348" s="115">
        <f t="shared" si="150"/>
        <v>0</v>
      </c>
      <c r="P348" s="115">
        <f t="shared" si="150"/>
        <v>0</v>
      </c>
      <c r="Q348" s="115">
        <f t="shared" si="150"/>
        <v>0</v>
      </c>
    </row>
    <row r="349" spans="1:17" s="36" customFormat="1" x14ac:dyDescent="0.25">
      <c r="A349" s="111">
        <f t="shared" ref="A349:B364" si="151">A221</f>
        <v>1110</v>
      </c>
      <c r="B349" s="111" t="str">
        <f t="shared" si="151"/>
        <v>1st Grade Teacher</v>
      </c>
      <c r="D349" s="115">
        <f t="shared" si="145"/>
        <v>52000</v>
      </c>
      <c r="F349" s="115">
        <f t="shared" si="150"/>
        <v>0</v>
      </c>
      <c r="G349" s="115">
        <f t="shared" si="150"/>
        <v>0</v>
      </c>
      <c r="H349" s="115">
        <f t="shared" si="150"/>
        <v>0</v>
      </c>
      <c r="I349" s="115">
        <f t="shared" si="150"/>
        <v>0</v>
      </c>
      <c r="J349" s="115">
        <f t="shared" si="150"/>
        <v>0</v>
      </c>
      <c r="K349" s="115">
        <f t="shared" si="150"/>
        <v>0</v>
      </c>
      <c r="L349" s="115">
        <f t="shared" si="150"/>
        <v>0</v>
      </c>
      <c r="M349" s="115">
        <f t="shared" si="150"/>
        <v>0</v>
      </c>
      <c r="N349" s="115">
        <f t="shared" si="150"/>
        <v>0</v>
      </c>
      <c r="O349" s="115">
        <f t="shared" si="150"/>
        <v>0</v>
      </c>
      <c r="P349" s="115">
        <f t="shared" si="150"/>
        <v>0</v>
      </c>
      <c r="Q349" s="115">
        <f t="shared" si="150"/>
        <v>0</v>
      </c>
    </row>
    <row r="350" spans="1:17" s="36" customFormat="1" x14ac:dyDescent="0.25">
      <c r="A350" s="111">
        <f t="shared" si="151"/>
        <v>1110</v>
      </c>
      <c r="B350" s="111" t="str">
        <f t="shared" si="151"/>
        <v>2nd Grade Teacher</v>
      </c>
      <c r="D350" s="115">
        <f t="shared" si="145"/>
        <v>52000</v>
      </c>
      <c r="F350" s="115">
        <f t="shared" si="150"/>
        <v>0</v>
      </c>
      <c r="G350" s="115">
        <f t="shared" si="150"/>
        <v>0</v>
      </c>
      <c r="H350" s="115">
        <f t="shared" si="150"/>
        <v>0</v>
      </c>
      <c r="I350" s="115">
        <f t="shared" si="150"/>
        <v>0</v>
      </c>
      <c r="J350" s="115">
        <f t="shared" si="150"/>
        <v>0</v>
      </c>
      <c r="K350" s="115">
        <f t="shared" si="150"/>
        <v>0</v>
      </c>
      <c r="L350" s="115">
        <f t="shared" si="150"/>
        <v>0</v>
      </c>
      <c r="M350" s="115">
        <f t="shared" si="150"/>
        <v>0</v>
      </c>
      <c r="N350" s="115">
        <f t="shared" si="150"/>
        <v>0</v>
      </c>
      <c r="O350" s="115">
        <f t="shared" si="150"/>
        <v>0</v>
      </c>
      <c r="P350" s="115">
        <f t="shared" si="150"/>
        <v>0</v>
      </c>
      <c r="Q350" s="115">
        <f t="shared" si="150"/>
        <v>0</v>
      </c>
    </row>
    <row r="351" spans="1:17" s="36" customFormat="1" x14ac:dyDescent="0.25">
      <c r="A351" s="111">
        <f t="shared" si="151"/>
        <v>1110</v>
      </c>
      <c r="B351" s="111" t="str">
        <f t="shared" si="151"/>
        <v>2nd Grade Teacher</v>
      </c>
      <c r="D351" s="115">
        <f t="shared" si="145"/>
        <v>52000</v>
      </c>
      <c r="F351" s="115">
        <f t="shared" si="150"/>
        <v>0</v>
      </c>
      <c r="G351" s="115">
        <f t="shared" si="150"/>
        <v>0</v>
      </c>
      <c r="H351" s="115">
        <f t="shared" si="150"/>
        <v>0</v>
      </c>
      <c r="I351" s="115">
        <f t="shared" si="150"/>
        <v>0</v>
      </c>
      <c r="J351" s="115">
        <f t="shared" si="150"/>
        <v>0</v>
      </c>
      <c r="K351" s="115">
        <f t="shared" si="150"/>
        <v>0</v>
      </c>
      <c r="L351" s="115">
        <f t="shared" si="150"/>
        <v>0</v>
      </c>
      <c r="M351" s="115">
        <f t="shared" si="150"/>
        <v>0</v>
      </c>
      <c r="N351" s="115">
        <f t="shared" si="150"/>
        <v>0</v>
      </c>
      <c r="O351" s="115">
        <f t="shared" si="150"/>
        <v>0</v>
      </c>
      <c r="P351" s="115">
        <f t="shared" si="150"/>
        <v>0</v>
      </c>
      <c r="Q351" s="115">
        <f t="shared" si="150"/>
        <v>0</v>
      </c>
    </row>
    <row r="352" spans="1:17" s="36" customFormat="1" x14ac:dyDescent="0.25">
      <c r="A352" s="111">
        <f t="shared" si="151"/>
        <v>1110</v>
      </c>
      <c r="B352" s="111" t="str">
        <f t="shared" si="151"/>
        <v>2nd Grade Teacher</v>
      </c>
      <c r="D352" s="115">
        <f t="shared" si="145"/>
        <v>52000</v>
      </c>
      <c r="F352" s="115">
        <f t="shared" si="150"/>
        <v>0</v>
      </c>
      <c r="G352" s="115">
        <f t="shared" si="150"/>
        <v>0</v>
      </c>
      <c r="H352" s="115">
        <f t="shared" si="150"/>
        <v>0</v>
      </c>
      <c r="I352" s="115">
        <f t="shared" si="150"/>
        <v>0</v>
      </c>
      <c r="J352" s="115">
        <f t="shared" si="150"/>
        <v>0</v>
      </c>
      <c r="K352" s="115">
        <f t="shared" si="150"/>
        <v>0</v>
      </c>
      <c r="L352" s="115">
        <f t="shared" si="150"/>
        <v>0</v>
      </c>
      <c r="M352" s="115">
        <f t="shared" si="150"/>
        <v>0</v>
      </c>
      <c r="N352" s="115">
        <f t="shared" si="150"/>
        <v>0</v>
      </c>
      <c r="O352" s="115">
        <f t="shared" si="150"/>
        <v>0</v>
      </c>
      <c r="P352" s="115">
        <f t="shared" si="150"/>
        <v>0</v>
      </c>
      <c r="Q352" s="115">
        <f t="shared" si="150"/>
        <v>0</v>
      </c>
    </row>
    <row r="353" spans="1:17" s="36" customFormat="1" x14ac:dyDescent="0.25">
      <c r="A353" s="111">
        <f t="shared" si="151"/>
        <v>1110</v>
      </c>
      <c r="B353" s="111" t="str">
        <f t="shared" si="151"/>
        <v>2nd Grade Teacher</v>
      </c>
      <c r="D353" s="115">
        <f t="shared" si="145"/>
        <v>52000</v>
      </c>
      <c r="F353" s="115">
        <f t="shared" si="150"/>
        <v>0</v>
      </c>
      <c r="G353" s="115">
        <f t="shared" si="150"/>
        <v>0</v>
      </c>
      <c r="H353" s="115">
        <f t="shared" si="150"/>
        <v>0</v>
      </c>
      <c r="I353" s="115">
        <f t="shared" si="150"/>
        <v>0</v>
      </c>
      <c r="J353" s="115">
        <f t="shared" si="150"/>
        <v>0</v>
      </c>
      <c r="K353" s="115">
        <f t="shared" si="150"/>
        <v>0</v>
      </c>
      <c r="L353" s="115">
        <f t="shared" si="150"/>
        <v>0</v>
      </c>
      <c r="M353" s="115">
        <f t="shared" si="150"/>
        <v>0</v>
      </c>
      <c r="N353" s="115">
        <f t="shared" si="150"/>
        <v>0</v>
      </c>
      <c r="O353" s="115">
        <f t="shared" si="150"/>
        <v>0</v>
      </c>
      <c r="P353" s="115">
        <f t="shared" si="150"/>
        <v>0</v>
      </c>
      <c r="Q353" s="115">
        <f t="shared" si="150"/>
        <v>0</v>
      </c>
    </row>
    <row r="354" spans="1:17" s="36" customFormat="1" x14ac:dyDescent="0.25">
      <c r="A354" s="111">
        <f t="shared" si="151"/>
        <v>1110</v>
      </c>
      <c r="B354" s="111" t="str">
        <f t="shared" si="151"/>
        <v>2nd Grade Teacher</v>
      </c>
      <c r="D354" s="115">
        <f t="shared" si="145"/>
        <v>52000</v>
      </c>
      <c r="F354" s="115">
        <f t="shared" si="150"/>
        <v>0</v>
      </c>
      <c r="G354" s="115">
        <f t="shared" si="150"/>
        <v>0</v>
      </c>
      <c r="H354" s="115">
        <f t="shared" si="150"/>
        <v>0</v>
      </c>
      <c r="I354" s="115">
        <f t="shared" si="150"/>
        <v>0</v>
      </c>
      <c r="J354" s="115">
        <f t="shared" si="150"/>
        <v>0</v>
      </c>
      <c r="K354" s="115">
        <f t="shared" si="150"/>
        <v>0</v>
      </c>
      <c r="L354" s="115">
        <f t="shared" si="150"/>
        <v>0</v>
      </c>
      <c r="M354" s="115">
        <f t="shared" si="150"/>
        <v>0</v>
      </c>
      <c r="N354" s="115">
        <f t="shared" si="150"/>
        <v>0</v>
      </c>
      <c r="O354" s="115">
        <f t="shared" si="150"/>
        <v>0</v>
      </c>
      <c r="P354" s="115">
        <f t="shared" si="150"/>
        <v>0</v>
      </c>
      <c r="Q354" s="115">
        <f t="shared" si="150"/>
        <v>0</v>
      </c>
    </row>
    <row r="355" spans="1:17" s="36" customFormat="1" x14ac:dyDescent="0.25">
      <c r="A355" s="111">
        <f t="shared" si="151"/>
        <v>1110</v>
      </c>
      <c r="B355" s="111" t="str">
        <f t="shared" si="151"/>
        <v>3rd Grade Teacher</v>
      </c>
      <c r="D355" s="115">
        <f t="shared" si="145"/>
        <v>52000</v>
      </c>
      <c r="F355" s="115">
        <f t="shared" si="150"/>
        <v>0</v>
      </c>
      <c r="G355" s="115">
        <f t="shared" si="150"/>
        <v>0</v>
      </c>
      <c r="H355" s="115">
        <f t="shared" si="150"/>
        <v>0</v>
      </c>
      <c r="I355" s="115">
        <f t="shared" si="150"/>
        <v>0</v>
      </c>
      <c r="J355" s="115">
        <f t="shared" si="150"/>
        <v>0</v>
      </c>
      <c r="K355" s="115">
        <f t="shared" si="150"/>
        <v>0</v>
      </c>
      <c r="L355" s="115">
        <f t="shared" si="150"/>
        <v>0</v>
      </c>
      <c r="M355" s="115">
        <f t="shared" si="150"/>
        <v>0</v>
      </c>
      <c r="N355" s="115">
        <f t="shared" si="150"/>
        <v>0</v>
      </c>
      <c r="O355" s="115">
        <f t="shared" si="150"/>
        <v>0</v>
      </c>
      <c r="P355" s="115">
        <f t="shared" si="150"/>
        <v>0</v>
      </c>
      <c r="Q355" s="115">
        <f t="shared" si="150"/>
        <v>0</v>
      </c>
    </row>
    <row r="356" spans="1:17" s="36" customFormat="1" x14ac:dyDescent="0.25">
      <c r="A356" s="111">
        <f t="shared" si="151"/>
        <v>1110</v>
      </c>
      <c r="B356" s="111" t="str">
        <f t="shared" si="151"/>
        <v>3rd Grade Teacher</v>
      </c>
      <c r="D356" s="115">
        <f t="shared" si="145"/>
        <v>52000</v>
      </c>
      <c r="F356" s="115">
        <f t="shared" si="150"/>
        <v>0</v>
      </c>
      <c r="G356" s="115">
        <f t="shared" si="150"/>
        <v>0</v>
      </c>
      <c r="H356" s="115">
        <f t="shared" si="150"/>
        <v>0</v>
      </c>
      <c r="I356" s="115">
        <f t="shared" si="150"/>
        <v>0</v>
      </c>
      <c r="J356" s="115">
        <f t="shared" si="150"/>
        <v>0</v>
      </c>
      <c r="K356" s="115">
        <f t="shared" si="150"/>
        <v>0</v>
      </c>
      <c r="L356" s="115">
        <f t="shared" si="150"/>
        <v>0</v>
      </c>
      <c r="M356" s="115">
        <f t="shared" si="150"/>
        <v>0</v>
      </c>
      <c r="N356" s="115">
        <f t="shared" si="150"/>
        <v>0</v>
      </c>
      <c r="O356" s="115">
        <f t="shared" si="150"/>
        <v>0</v>
      </c>
      <c r="P356" s="115">
        <f t="shared" si="150"/>
        <v>0</v>
      </c>
      <c r="Q356" s="115">
        <f t="shared" si="150"/>
        <v>0</v>
      </c>
    </row>
    <row r="357" spans="1:17" s="36" customFormat="1" x14ac:dyDescent="0.25">
      <c r="A357" s="111">
        <f t="shared" si="151"/>
        <v>1110</v>
      </c>
      <c r="B357" s="111" t="str">
        <f t="shared" si="151"/>
        <v>3rd Grade Teacher</v>
      </c>
      <c r="D357" s="115">
        <f t="shared" si="145"/>
        <v>52000</v>
      </c>
      <c r="F357" s="115">
        <f t="shared" si="150"/>
        <v>0</v>
      </c>
      <c r="G357" s="115">
        <f t="shared" si="150"/>
        <v>0</v>
      </c>
      <c r="H357" s="115">
        <f t="shared" si="150"/>
        <v>0</v>
      </c>
      <c r="I357" s="115">
        <f t="shared" si="150"/>
        <v>0</v>
      </c>
      <c r="J357" s="115">
        <f t="shared" si="150"/>
        <v>0</v>
      </c>
      <c r="K357" s="115">
        <f t="shared" si="150"/>
        <v>0</v>
      </c>
      <c r="L357" s="115">
        <f t="shared" si="150"/>
        <v>0</v>
      </c>
      <c r="M357" s="115">
        <f t="shared" si="150"/>
        <v>0</v>
      </c>
      <c r="N357" s="115">
        <f t="shared" si="150"/>
        <v>0</v>
      </c>
      <c r="O357" s="115">
        <f t="shared" si="150"/>
        <v>0</v>
      </c>
      <c r="P357" s="115">
        <f t="shared" si="150"/>
        <v>0</v>
      </c>
      <c r="Q357" s="115">
        <f t="shared" si="150"/>
        <v>0</v>
      </c>
    </row>
    <row r="358" spans="1:17" s="36" customFormat="1" x14ac:dyDescent="0.25">
      <c r="A358" s="111">
        <f t="shared" si="151"/>
        <v>1110</v>
      </c>
      <c r="B358" s="111" t="str">
        <f t="shared" si="151"/>
        <v>3rd Grade Teacher</v>
      </c>
      <c r="D358" s="115">
        <f t="shared" si="145"/>
        <v>52000</v>
      </c>
      <c r="F358" s="115">
        <f t="shared" si="150"/>
        <v>0</v>
      </c>
      <c r="G358" s="115">
        <f t="shared" si="150"/>
        <v>0</v>
      </c>
      <c r="H358" s="115">
        <f t="shared" si="150"/>
        <v>0</v>
      </c>
      <c r="I358" s="115">
        <f t="shared" si="150"/>
        <v>0</v>
      </c>
      <c r="J358" s="115">
        <f t="shared" si="150"/>
        <v>0</v>
      </c>
      <c r="K358" s="115">
        <f t="shared" si="150"/>
        <v>0</v>
      </c>
      <c r="L358" s="115">
        <f t="shared" si="150"/>
        <v>0</v>
      </c>
      <c r="M358" s="115">
        <f t="shared" si="150"/>
        <v>0</v>
      </c>
      <c r="N358" s="115">
        <f t="shared" si="150"/>
        <v>0</v>
      </c>
      <c r="O358" s="115">
        <f t="shared" si="150"/>
        <v>0</v>
      </c>
      <c r="P358" s="115">
        <f t="shared" si="150"/>
        <v>0</v>
      </c>
      <c r="Q358" s="115">
        <f t="shared" si="150"/>
        <v>0</v>
      </c>
    </row>
    <row r="359" spans="1:17" s="36" customFormat="1" x14ac:dyDescent="0.25">
      <c r="A359" s="111">
        <f t="shared" si="151"/>
        <v>1110</v>
      </c>
      <c r="B359" s="111" t="str">
        <f t="shared" si="151"/>
        <v>3rd Grade Teacher</v>
      </c>
      <c r="D359" s="115">
        <f t="shared" si="145"/>
        <v>52000</v>
      </c>
      <c r="F359" s="115">
        <f t="shared" si="150"/>
        <v>0</v>
      </c>
      <c r="G359" s="115">
        <f t="shared" si="150"/>
        <v>0</v>
      </c>
      <c r="H359" s="115">
        <f t="shared" si="150"/>
        <v>0</v>
      </c>
      <c r="I359" s="115">
        <f t="shared" si="150"/>
        <v>0</v>
      </c>
      <c r="J359" s="115">
        <f t="shared" si="150"/>
        <v>0</v>
      </c>
      <c r="K359" s="115">
        <f t="shared" si="150"/>
        <v>0</v>
      </c>
      <c r="L359" s="115">
        <f t="shared" si="150"/>
        <v>0</v>
      </c>
      <c r="M359" s="115">
        <f t="shared" si="150"/>
        <v>0</v>
      </c>
      <c r="N359" s="115">
        <f t="shared" si="150"/>
        <v>0</v>
      </c>
      <c r="O359" s="115">
        <f t="shared" si="150"/>
        <v>0</v>
      </c>
      <c r="P359" s="115">
        <f t="shared" si="150"/>
        <v>0</v>
      </c>
      <c r="Q359" s="115">
        <f t="shared" si="150"/>
        <v>0</v>
      </c>
    </row>
    <row r="360" spans="1:17" s="36" customFormat="1" x14ac:dyDescent="0.25">
      <c r="A360" s="111">
        <f t="shared" si="151"/>
        <v>1110</v>
      </c>
      <c r="B360" s="111" t="str">
        <f t="shared" si="151"/>
        <v>4th Grade Teacher</v>
      </c>
      <c r="D360" s="115">
        <f t="shared" si="145"/>
        <v>52000</v>
      </c>
      <c r="F360" s="115">
        <f t="shared" si="150"/>
        <v>0</v>
      </c>
      <c r="G360" s="115">
        <f t="shared" si="150"/>
        <v>0</v>
      </c>
      <c r="H360" s="115">
        <f t="shared" si="150"/>
        <v>0</v>
      </c>
      <c r="I360" s="115">
        <f t="shared" si="150"/>
        <v>0</v>
      </c>
      <c r="J360" s="115">
        <f t="shared" si="150"/>
        <v>0</v>
      </c>
      <c r="K360" s="115">
        <f t="shared" si="150"/>
        <v>0</v>
      </c>
      <c r="L360" s="115">
        <f t="shared" si="150"/>
        <v>0</v>
      </c>
      <c r="M360" s="115">
        <f t="shared" si="150"/>
        <v>0</v>
      </c>
      <c r="N360" s="115">
        <f t="shared" si="150"/>
        <v>0</v>
      </c>
      <c r="O360" s="115">
        <f t="shared" si="150"/>
        <v>0</v>
      </c>
      <c r="P360" s="115">
        <f t="shared" si="150"/>
        <v>0</v>
      </c>
      <c r="Q360" s="115">
        <f t="shared" si="150"/>
        <v>0</v>
      </c>
    </row>
    <row r="361" spans="1:17" s="36" customFormat="1" x14ac:dyDescent="0.25">
      <c r="A361" s="111">
        <f t="shared" si="151"/>
        <v>1110</v>
      </c>
      <c r="B361" s="111" t="str">
        <f t="shared" si="151"/>
        <v>4th Grade Teacher</v>
      </c>
      <c r="D361" s="115">
        <f t="shared" si="145"/>
        <v>52000</v>
      </c>
      <c r="F361" s="115">
        <f t="shared" si="150"/>
        <v>0</v>
      </c>
      <c r="G361" s="115">
        <f t="shared" si="150"/>
        <v>0</v>
      </c>
      <c r="H361" s="115">
        <f t="shared" si="150"/>
        <v>0</v>
      </c>
      <c r="I361" s="115">
        <f t="shared" si="150"/>
        <v>0</v>
      </c>
      <c r="J361" s="115">
        <f t="shared" si="150"/>
        <v>0</v>
      </c>
      <c r="K361" s="115">
        <f t="shared" si="150"/>
        <v>0</v>
      </c>
      <c r="L361" s="115">
        <f t="shared" si="150"/>
        <v>0</v>
      </c>
      <c r="M361" s="115">
        <f t="shared" si="150"/>
        <v>0</v>
      </c>
      <c r="N361" s="115">
        <f t="shared" si="150"/>
        <v>0</v>
      </c>
      <c r="O361" s="115">
        <f t="shared" si="150"/>
        <v>0</v>
      </c>
      <c r="P361" s="115">
        <f t="shared" si="150"/>
        <v>0</v>
      </c>
      <c r="Q361" s="115">
        <f t="shared" si="150"/>
        <v>0</v>
      </c>
    </row>
    <row r="362" spans="1:17" s="36" customFormat="1" x14ac:dyDescent="0.25">
      <c r="A362" s="111">
        <f t="shared" si="151"/>
        <v>1110</v>
      </c>
      <c r="B362" s="111" t="str">
        <f t="shared" si="151"/>
        <v>4th Grade Teacher</v>
      </c>
      <c r="D362" s="115">
        <f t="shared" si="145"/>
        <v>52000</v>
      </c>
      <c r="F362" s="115">
        <f t="shared" si="150"/>
        <v>0</v>
      </c>
      <c r="G362" s="115">
        <f t="shared" si="150"/>
        <v>0</v>
      </c>
      <c r="H362" s="115">
        <f t="shared" si="150"/>
        <v>0</v>
      </c>
      <c r="I362" s="115">
        <f t="shared" si="150"/>
        <v>0</v>
      </c>
      <c r="J362" s="115">
        <f t="shared" si="150"/>
        <v>0</v>
      </c>
      <c r="K362" s="115">
        <f t="shared" si="150"/>
        <v>0</v>
      </c>
      <c r="L362" s="115">
        <f t="shared" si="150"/>
        <v>0</v>
      </c>
      <c r="M362" s="115">
        <f t="shared" si="150"/>
        <v>0</v>
      </c>
      <c r="N362" s="115">
        <f t="shared" si="150"/>
        <v>0</v>
      </c>
      <c r="O362" s="115">
        <f t="shared" si="150"/>
        <v>0</v>
      </c>
      <c r="P362" s="115">
        <f t="shared" si="150"/>
        <v>0</v>
      </c>
      <c r="Q362" s="115">
        <f t="shared" si="150"/>
        <v>0</v>
      </c>
    </row>
    <row r="363" spans="1:17" s="36" customFormat="1" x14ac:dyDescent="0.25">
      <c r="A363" s="111">
        <f t="shared" si="151"/>
        <v>1110</v>
      </c>
      <c r="B363" s="111" t="str">
        <f t="shared" si="151"/>
        <v>4th Grade Teacher</v>
      </c>
      <c r="D363" s="115">
        <f t="shared" si="145"/>
        <v>52000</v>
      </c>
      <c r="F363" s="115">
        <f t="shared" si="150"/>
        <v>0</v>
      </c>
      <c r="G363" s="115">
        <f t="shared" si="150"/>
        <v>0</v>
      </c>
      <c r="H363" s="115">
        <f t="shared" si="150"/>
        <v>0</v>
      </c>
      <c r="I363" s="115">
        <f t="shared" si="150"/>
        <v>0</v>
      </c>
      <c r="J363" s="115">
        <f t="shared" si="150"/>
        <v>0</v>
      </c>
      <c r="K363" s="115">
        <f t="shared" si="150"/>
        <v>0</v>
      </c>
      <c r="L363" s="115">
        <f t="shared" si="150"/>
        <v>0</v>
      </c>
      <c r="M363" s="115">
        <f t="shared" si="150"/>
        <v>0</v>
      </c>
      <c r="N363" s="115">
        <f t="shared" si="150"/>
        <v>0</v>
      </c>
      <c r="O363" s="115">
        <f t="shared" si="150"/>
        <v>0</v>
      </c>
      <c r="P363" s="115">
        <f t="shared" si="150"/>
        <v>0</v>
      </c>
      <c r="Q363" s="115">
        <f t="shared" si="150"/>
        <v>0</v>
      </c>
    </row>
    <row r="364" spans="1:17" s="36" customFormat="1" x14ac:dyDescent="0.25">
      <c r="A364" s="111">
        <f t="shared" si="151"/>
        <v>1110</v>
      </c>
      <c r="B364" s="111" t="str">
        <f t="shared" si="151"/>
        <v>4th Grade Teacher</v>
      </c>
      <c r="D364" s="115">
        <f t="shared" si="145"/>
        <v>52000</v>
      </c>
      <c r="F364" s="115">
        <f t="shared" ref="F364:Q379" si="152">$D364*(1+E$5)*F236</f>
        <v>0</v>
      </c>
      <c r="G364" s="115">
        <f t="shared" si="152"/>
        <v>0</v>
      </c>
      <c r="H364" s="115">
        <f t="shared" si="152"/>
        <v>0</v>
      </c>
      <c r="I364" s="115">
        <f t="shared" si="152"/>
        <v>0</v>
      </c>
      <c r="J364" s="115">
        <f t="shared" si="152"/>
        <v>0</v>
      </c>
      <c r="K364" s="115">
        <f t="shared" si="152"/>
        <v>0</v>
      </c>
      <c r="L364" s="115">
        <f t="shared" si="152"/>
        <v>0</v>
      </c>
      <c r="M364" s="115">
        <f t="shared" si="152"/>
        <v>0</v>
      </c>
      <c r="N364" s="115">
        <f t="shared" si="152"/>
        <v>0</v>
      </c>
      <c r="O364" s="115">
        <f t="shared" si="152"/>
        <v>0</v>
      </c>
      <c r="P364" s="115">
        <f t="shared" si="152"/>
        <v>0</v>
      </c>
      <c r="Q364" s="115">
        <f t="shared" si="152"/>
        <v>0</v>
      </c>
    </row>
    <row r="365" spans="1:17" s="36" customFormat="1" x14ac:dyDescent="0.25">
      <c r="A365" s="111">
        <f t="shared" ref="A365:B380" si="153">A237</f>
        <v>2100</v>
      </c>
      <c r="B365" s="111" t="str">
        <f t="shared" si="153"/>
        <v>Elementary Enrichment Teacher</v>
      </c>
      <c r="D365" s="115">
        <f t="shared" si="145"/>
        <v>52000</v>
      </c>
      <c r="F365" s="115">
        <f t="shared" si="152"/>
        <v>0</v>
      </c>
      <c r="G365" s="115">
        <f t="shared" si="152"/>
        <v>0</v>
      </c>
      <c r="H365" s="115">
        <f t="shared" si="152"/>
        <v>0</v>
      </c>
      <c r="I365" s="115">
        <f t="shared" si="152"/>
        <v>0</v>
      </c>
      <c r="J365" s="115">
        <f t="shared" si="152"/>
        <v>0</v>
      </c>
      <c r="K365" s="115">
        <f t="shared" si="152"/>
        <v>0</v>
      </c>
      <c r="L365" s="115">
        <f t="shared" si="152"/>
        <v>0</v>
      </c>
      <c r="M365" s="115">
        <f t="shared" si="152"/>
        <v>0</v>
      </c>
      <c r="N365" s="115">
        <f t="shared" si="152"/>
        <v>0</v>
      </c>
      <c r="O365" s="115">
        <f t="shared" si="152"/>
        <v>0</v>
      </c>
      <c r="P365" s="115">
        <f t="shared" si="152"/>
        <v>0</v>
      </c>
      <c r="Q365" s="115">
        <f t="shared" si="152"/>
        <v>0</v>
      </c>
    </row>
    <row r="366" spans="1:17" s="36" customFormat="1" x14ac:dyDescent="0.25">
      <c r="A366" s="111">
        <f t="shared" si="153"/>
        <v>2100</v>
      </c>
      <c r="B366" s="111" t="str">
        <f t="shared" si="153"/>
        <v>Elementary Enrichment Teacher</v>
      </c>
      <c r="D366" s="115">
        <f t="shared" si="145"/>
        <v>52000</v>
      </c>
      <c r="F366" s="115">
        <f t="shared" si="152"/>
        <v>0</v>
      </c>
      <c r="G366" s="115">
        <f t="shared" si="152"/>
        <v>0</v>
      </c>
      <c r="H366" s="115">
        <f t="shared" si="152"/>
        <v>0</v>
      </c>
      <c r="I366" s="115">
        <f t="shared" si="152"/>
        <v>0</v>
      </c>
      <c r="J366" s="115">
        <f t="shared" si="152"/>
        <v>0</v>
      </c>
      <c r="K366" s="115">
        <f t="shared" si="152"/>
        <v>0</v>
      </c>
      <c r="L366" s="115">
        <f t="shared" si="152"/>
        <v>0</v>
      </c>
      <c r="M366" s="115">
        <f t="shared" si="152"/>
        <v>0</v>
      </c>
      <c r="N366" s="115">
        <f t="shared" si="152"/>
        <v>0</v>
      </c>
      <c r="O366" s="115">
        <f t="shared" si="152"/>
        <v>0</v>
      </c>
      <c r="P366" s="115">
        <f t="shared" si="152"/>
        <v>0</v>
      </c>
      <c r="Q366" s="115">
        <f t="shared" si="152"/>
        <v>0</v>
      </c>
    </row>
    <row r="367" spans="1:17" s="36" customFormat="1" x14ac:dyDescent="0.25">
      <c r="A367" s="111">
        <f t="shared" si="153"/>
        <v>2100</v>
      </c>
      <c r="B367" s="111" t="str">
        <f t="shared" si="153"/>
        <v>Elementary Enrichment Teacher</v>
      </c>
      <c r="D367" s="115">
        <f t="shared" si="145"/>
        <v>52000</v>
      </c>
      <c r="F367" s="115">
        <f t="shared" si="152"/>
        <v>0</v>
      </c>
      <c r="G367" s="115">
        <f t="shared" si="152"/>
        <v>0</v>
      </c>
      <c r="H367" s="115">
        <f t="shared" si="152"/>
        <v>0</v>
      </c>
      <c r="I367" s="115">
        <f t="shared" si="152"/>
        <v>0</v>
      </c>
      <c r="J367" s="115">
        <f t="shared" si="152"/>
        <v>0</v>
      </c>
      <c r="K367" s="115">
        <f t="shared" si="152"/>
        <v>0</v>
      </c>
      <c r="L367" s="115">
        <f t="shared" si="152"/>
        <v>0</v>
      </c>
      <c r="M367" s="115">
        <f t="shared" si="152"/>
        <v>0</v>
      </c>
      <c r="N367" s="115">
        <f t="shared" si="152"/>
        <v>0</v>
      </c>
      <c r="O367" s="115">
        <f t="shared" si="152"/>
        <v>0</v>
      </c>
      <c r="P367" s="115">
        <f t="shared" si="152"/>
        <v>0</v>
      </c>
      <c r="Q367" s="115">
        <f t="shared" si="152"/>
        <v>0</v>
      </c>
    </row>
    <row r="368" spans="1:17" s="36" customFormat="1" x14ac:dyDescent="0.25">
      <c r="A368" s="111">
        <f t="shared" si="153"/>
        <v>1110</v>
      </c>
      <c r="B368" s="111" t="str">
        <f t="shared" si="153"/>
        <v>5th Grade Teacher</v>
      </c>
      <c r="D368" s="115">
        <f t="shared" si="145"/>
        <v>52000</v>
      </c>
      <c r="F368" s="115">
        <f t="shared" si="152"/>
        <v>0</v>
      </c>
      <c r="G368" s="115">
        <f t="shared" si="152"/>
        <v>0</v>
      </c>
      <c r="H368" s="115">
        <f t="shared" si="152"/>
        <v>0</v>
      </c>
      <c r="I368" s="115">
        <f t="shared" si="152"/>
        <v>0</v>
      </c>
      <c r="J368" s="115">
        <f t="shared" si="152"/>
        <v>0</v>
      </c>
      <c r="K368" s="115">
        <f t="shared" si="152"/>
        <v>0</v>
      </c>
      <c r="L368" s="115">
        <f t="shared" si="152"/>
        <v>0</v>
      </c>
      <c r="M368" s="115">
        <f t="shared" si="152"/>
        <v>0</v>
      </c>
      <c r="N368" s="115">
        <f t="shared" si="152"/>
        <v>59280.000000000007</v>
      </c>
      <c r="O368" s="115">
        <f t="shared" si="152"/>
        <v>60319.999999999993</v>
      </c>
      <c r="P368" s="115">
        <f t="shared" si="152"/>
        <v>61360</v>
      </c>
      <c r="Q368" s="115">
        <f t="shared" si="152"/>
        <v>62400</v>
      </c>
    </row>
    <row r="369" spans="1:17" s="36" customFormat="1" x14ac:dyDescent="0.25">
      <c r="A369" s="111">
        <f t="shared" si="153"/>
        <v>1110</v>
      </c>
      <c r="B369" s="111" t="str">
        <f t="shared" si="153"/>
        <v>5th Grade Teacher</v>
      </c>
      <c r="D369" s="115">
        <f t="shared" si="145"/>
        <v>52000</v>
      </c>
      <c r="F369" s="115">
        <f t="shared" si="152"/>
        <v>0</v>
      </c>
      <c r="G369" s="115">
        <f t="shared" si="152"/>
        <v>0</v>
      </c>
      <c r="H369" s="115">
        <f t="shared" si="152"/>
        <v>0</v>
      </c>
      <c r="I369" s="115">
        <f t="shared" si="152"/>
        <v>0</v>
      </c>
      <c r="J369" s="115">
        <f t="shared" si="152"/>
        <v>0</v>
      </c>
      <c r="K369" s="115">
        <f t="shared" si="152"/>
        <v>0</v>
      </c>
      <c r="L369" s="115">
        <f t="shared" si="152"/>
        <v>0</v>
      </c>
      <c r="M369" s="115">
        <f t="shared" si="152"/>
        <v>0</v>
      </c>
      <c r="N369" s="115">
        <f t="shared" si="152"/>
        <v>59280.000000000007</v>
      </c>
      <c r="O369" s="115">
        <f t="shared" si="152"/>
        <v>60319.999999999993</v>
      </c>
      <c r="P369" s="115">
        <f t="shared" si="152"/>
        <v>61360</v>
      </c>
      <c r="Q369" s="115">
        <f t="shared" si="152"/>
        <v>62400</v>
      </c>
    </row>
    <row r="370" spans="1:17" s="36" customFormat="1" x14ac:dyDescent="0.25">
      <c r="A370" s="111">
        <f t="shared" si="153"/>
        <v>1110</v>
      </c>
      <c r="B370" s="111" t="str">
        <f t="shared" si="153"/>
        <v>5th Grade Teacher</v>
      </c>
      <c r="D370" s="115">
        <f t="shared" si="145"/>
        <v>52000</v>
      </c>
      <c r="F370" s="115">
        <f t="shared" si="152"/>
        <v>0</v>
      </c>
      <c r="G370" s="115">
        <f t="shared" si="152"/>
        <v>0</v>
      </c>
      <c r="H370" s="115">
        <f t="shared" si="152"/>
        <v>0</v>
      </c>
      <c r="I370" s="115">
        <f t="shared" si="152"/>
        <v>0</v>
      </c>
      <c r="J370" s="115">
        <f t="shared" si="152"/>
        <v>0</v>
      </c>
      <c r="K370" s="115">
        <f t="shared" si="152"/>
        <v>0</v>
      </c>
      <c r="L370" s="115">
        <f t="shared" si="152"/>
        <v>0</v>
      </c>
      <c r="M370" s="115">
        <f t="shared" si="152"/>
        <v>0</v>
      </c>
      <c r="N370" s="115">
        <f t="shared" si="152"/>
        <v>59280.000000000007</v>
      </c>
      <c r="O370" s="115">
        <f t="shared" si="152"/>
        <v>0</v>
      </c>
      <c r="P370" s="115">
        <f t="shared" si="152"/>
        <v>0</v>
      </c>
      <c r="Q370" s="115">
        <f t="shared" si="152"/>
        <v>0</v>
      </c>
    </row>
    <row r="371" spans="1:17" s="36" customFormat="1" x14ac:dyDescent="0.25">
      <c r="A371" s="111">
        <f t="shared" si="153"/>
        <v>1110</v>
      </c>
      <c r="B371" s="111" t="str">
        <f t="shared" si="153"/>
        <v>5th Grade Teacher</v>
      </c>
      <c r="D371" s="115">
        <f t="shared" si="145"/>
        <v>52000</v>
      </c>
      <c r="F371" s="115">
        <f t="shared" si="152"/>
        <v>0</v>
      </c>
      <c r="G371" s="115">
        <f t="shared" si="152"/>
        <v>0</v>
      </c>
      <c r="H371" s="115">
        <f t="shared" si="152"/>
        <v>0</v>
      </c>
      <c r="I371" s="115">
        <f t="shared" si="152"/>
        <v>0</v>
      </c>
      <c r="J371" s="115">
        <f t="shared" si="152"/>
        <v>0</v>
      </c>
      <c r="K371" s="115">
        <f t="shared" si="152"/>
        <v>0</v>
      </c>
      <c r="L371" s="115">
        <f t="shared" si="152"/>
        <v>0</v>
      </c>
      <c r="M371" s="115">
        <f t="shared" si="152"/>
        <v>0</v>
      </c>
      <c r="N371" s="115">
        <f t="shared" si="152"/>
        <v>59280.000000000007</v>
      </c>
      <c r="O371" s="115">
        <f t="shared" si="152"/>
        <v>0</v>
      </c>
      <c r="P371" s="115">
        <f t="shared" si="152"/>
        <v>0</v>
      </c>
      <c r="Q371" s="115">
        <f t="shared" si="152"/>
        <v>0</v>
      </c>
    </row>
    <row r="372" spans="1:17" s="36" customFormat="1" x14ac:dyDescent="0.25">
      <c r="A372" s="111">
        <f t="shared" si="153"/>
        <v>1110</v>
      </c>
      <c r="B372" s="111" t="str">
        <f t="shared" si="153"/>
        <v>5th Grade Teacher</v>
      </c>
      <c r="D372" s="115">
        <f t="shared" si="145"/>
        <v>52000</v>
      </c>
      <c r="F372" s="115">
        <f t="shared" si="152"/>
        <v>0</v>
      </c>
      <c r="G372" s="115">
        <f t="shared" si="152"/>
        <v>0</v>
      </c>
      <c r="H372" s="115">
        <f t="shared" si="152"/>
        <v>0</v>
      </c>
      <c r="I372" s="115">
        <f t="shared" si="152"/>
        <v>0</v>
      </c>
      <c r="J372" s="115">
        <f t="shared" si="152"/>
        <v>0</v>
      </c>
      <c r="K372" s="115">
        <f t="shared" si="152"/>
        <v>0</v>
      </c>
      <c r="L372" s="115">
        <f t="shared" si="152"/>
        <v>0</v>
      </c>
      <c r="M372" s="115">
        <f t="shared" si="152"/>
        <v>0</v>
      </c>
      <c r="N372" s="115">
        <f t="shared" si="152"/>
        <v>0</v>
      </c>
      <c r="O372" s="115">
        <f t="shared" si="152"/>
        <v>0</v>
      </c>
      <c r="P372" s="115">
        <f t="shared" si="152"/>
        <v>0</v>
      </c>
      <c r="Q372" s="115">
        <f t="shared" si="152"/>
        <v>0</v>
      </c>
    </row>
    <row r="373" spans="1:17" s="36" customFormat="1" x14ac:dyDescent="0.25">
      <c r="A373" s="111">
        <f t="shared" si="153"/>
        <v>1110</v>
      </c>
      <c r="B373" s="111" t="str">
        <f t="shared" si="153"/>
        <v>6th Grade Teacher</v>
      </c>
      <c r="D373" s="115">
        <f t="shared" si="145"/>
        <v>52000</v>
      </c>
      <c r="F373" s="115">
        <f t="shared" si="152"/>
        <v>0</v>
      </c>
      <c r="G373" s="115">
        <f t="shared" si="152"/>
        <v>0</v>
      </c>
      <c r="H373" s="115">
        <f t="shared" si="152"/>
        <v>0</v>
      </c>
      <c r="I373" s="115">
        <f t="shared" si="152"/>
        <v>0</v>
      </c>
      <c r="J373" s="115">
        <f t="shared" si="152"/>
        <v>0</v>
      </c>
      <c r="K373" s="115">
        <f t="shared" si="152"/>
        <v>0</v>
      </c>
      <c r="L373" s="115">
        <f t="shared" si="152"/>
        <v>0</v>
      </c>
      <c r="M373" s="115">
        <f t="shared" si="152"/>
        <v>0</v>
      </c>
      <c r="N373" s="115">
        <f t="shared" si="152"/>
        <v>0</v>
      </c>
      <c r="O373" s="115">
        <f t="shared" si="152"/>
        <v>60319.999999999993</v>
      </c>
      <c r="P373" s="115">
        <f t="shared" si="152"/>
        <v>61360</v>
      </c>
      <c r="Q373" s="115">
        <f t="shared" si="152"/>
        <v>62400</v>
      </c>
    </row>
    <row r="374" spans="1:17" s="36" customFormat="1" x14ac:dyDescent="0.25">
      <c r="A374" s="111">
        <f t="shared" si="153"/>
        <v>1110</v>
      </c>
      <c r="B374" s="111" t="str">
        <f t="shared" si="153"/>
        <v>6th Grade Teacher</v>
      </c>
      <c r="D374" s="115">
        <f t="shared" si="145"/>
        <v>52000</v>
      </c>
      <c r="F374" s="115">
        <f t="shared" si="152"/>
        <v>0</v>
      </c>
      <c r="G374" s="115">
        <f t="shared" si="152"/>
        <v>0</v>
      </c>
      <c r="H374" s="115">
        <f t="shared" si="152"/>
        <v>0</v>
      </c>
      <c r="I374" s="115">
        <f t="shared" si="152"/>
        <v>0</v>
      </c>
      <c r="J374" s="115">
        <f t="shared" si="152"/>
        <v>0</v>
      </c>
      <c r="K374" s="115">
        <f t="shared" si="152"/>
        <v>0</v>
      </c>
      <c r="L374" s="115">
        <f t="shared" si="152"/>
        <v>0</v>
      </c>
      <c r="M374" s="115">
        <f t="shared" si="152"/>
        <v>0</v>
      </c>
      <c r="N374" s="115">
        <f t="shared" si="152"/>
        <v>0</v>
      </c>
      <c r="O374" s="115">
        <f t="shared" si="152"/>
        <v>60319.999999999993</v>
      </c>
      <c r="P374" s="115">
        <f t="shared" si="152"/>
        <v>61360</v>
      </c>
      <c r="Q374" s="115">
        <f t="shared" si="152"/>
        <v>62400</v>
      </c>
    </row>
    <row r="375" spans="1:17" s="36" customFormat="1" x14ac:dyDescent="0.25">
      <c r="A375" s="111">
        <f t="shared" si="153"/>
        <v>1110</v>
      </c>
      <c r="B375" s="111" t="str">
        <f t="shared" si="153"/>
        <v>6th Grade Teacher</v>
      </c>
      <c r="D375" s="115">
        <f t="shared" si="145"/>
        <v>52000</v>
      </c>
      <c r="F375" s="115">
        <f t="shared" si="152"/>
        <v>0</v>
      </c>
      <c r="G375" s="115">
        <f t="shared" si="152"/>
        <v>0</v>
      </c>
      <c r="H375" s="115">
        <f t="shared" si="152"/>
        <v>0</v>
      </c>
      <c r="I375" s="115">
        <f t="shared" si="152"/>
        <v>0</v>
      </c>
      <c r="J375" s="115">
        <f t="shared" si="152"/>
        <v>0</v>
      </c>
      <c r="K375" s="115">
        <f t="shared" si="152"/>
        <v>0</v>
      </c>
      <c r="L375" s="115">
        <f t="shared" si="152"/>
        <v>0</v>
      </c>
      <c r="M375" s="115">
        <f t="shared" si="152"/>
        <v>0</v>
      </c>
      <c r="N375" s="115">
        <f t="shared" si="152"/>
        <v>0</v>
      </c>
      <c r="O375" s="115">
        <f t="shared" si="152"/>
        <v>60319.999999999993</v>
      </c>
      <c r="P375" s="115">
        <f t="shared" si="152"/>
        <v>0</v>
      </c>
      <c r="Q375" s="115">
        <f t="shared" si="152"/>
        <v>0</v>
      </c>
    </row>
    <row r="376" spans="1:17" s="36" customFormat="1" x14ac:dyDescent="0.25">
      <c r="A376" s="111">
        <f t="shared" si="153"/>
        <v>1110</v>
      </c>
      <c r="B376" s="111" t="str">
        <f t="shared" si="153"/>
        <v>6th Grade Teacher</v>
      </c>
      <c r="D376" s="115">
        <f t="shared" si="145"/>
        <v>52000</v>
      </c>
      <c r="F376" s="115">
        <f t="shared" si="152"/>
        <v>0</v>
      </c>
      <c r="G376" s="115">
        <f t="shared" si="152"/>
        <v>0</v>
      </c>
      <c r="H376" s="115">
        <f t="shared" si="152"/>
        <v>0</v>
      </c>
      <c r="I376" s="115">
        <f t="shared" si="152"/>
        <v>0</v>
      </c>
      <c r="J376" s="115">
        <f t="shared" si="152"/>
        <v>0</v>
      </c>
      <c r="K376" s="115">
        <f t="shared" si="152"/>
        <v>0</v>
      </c>
      <c r="L376" s="115">
        <f t="shared" si="152"/>
        <v>0</v>
      </c>
      <c r="M376" s="115">
        <f t="shared" si="152"/>
        <v>0</v>
      </c>
      <c r="N376" s="115">
        <f t="shared" si="152"/>
        <v>0</v>
      </c>
      <c r="O376" s="115">
        <f t="shared" si="152"/>
        <v>60319.999999999993</v>
      </c>
      <c r="P376" s="115">
        <f t="shared" si="152"/>
        <v>0</v>
      </c>
      <c r="Q376" s="115">
        <f t="shared" si="152"/>
        <v>0</v>
      </c>
    </row>
    <row r="377" spans="1:17" s="36" customFormat="1" x14ac:dyDescent="0.25">
      <c r="A377" s="111">
        <f t="shared" si="153"/>
        <v>1110</v>
      </c>
      <c r="B377" s="111" t="str">
        <f t="shared" si="153"/>
        <v>7th Grade Teacher</v>
      </c>
      <c r="D377" s="115">
        <f t="shared" si="145"/>
        <v>52000</v>
      </c>
      <c r="F377" s="115">
        <f t="shared" si="152"/>
        <v>0</v>
      </c>
      <c r="G377" s="115">
        <f t="shared" si="152"/>
        <v>0</v>
      </c>
      <c r="H377" s="115">
        <f t="shared" si="152"/>
        <v>0</v>
      </c>
      <c r="I377" s="115">
        <f t="shared" si="152"/>
        <v>0</v>
      </c>
      <c r="J377" s="115">
        <f t="shared" si="152"/>
        <v>0</v>
      </c>
      <c r="K377" s="115">
        <f t="shared" si="152"/>
        <v>0</v>
      </c>
      <c r="L377" s="115">
        <f t="shared" si="152"/>
        <v>0</v>
      </c>
      <c r="M377" s="115">
        <f t="shared" si="152"/>
        <v>0</v>
      </c>
      <c r="N377" s="115">
        <f t="shared" si="152"/>
        <v>0</v>
      </c>
      <c r="O377" s="115">
        <f t="shared" si="152"/>
        <v>0</v>
      </c>
      <c r="P377" s="115">
        <f t="shared" si="152"/>
        <v>61360</v>
      </c>
      <c r="Q377" s="115">
        <f t="shared" si="152"/>
        <v>62400</v>
      </c>
    </row>
    <row r="378" spans="1:17" s="36" customFormat="1" x14ac:dyDescent="0.25">
      <c r="A378" s="111">
        <f t="shared" si="153"/>
        <v>1110</v>
      </c>
      <c r="B378" s="111" t="str">
        <f t="shared" si="153"/>
        <v>7th Grade Teacher</v>
      </c>
      <c r="D378" s="115">
        <f t="shared" si="145"/>
        <v>52000</v>
      </c>
      <c r="F378" s="115">
        <f t="shared" si="152"/>
        <v>0</v>
      </c>
      <c r="G378" s="115">
        <f t="shared" si="152"/>
        <v>0</v>
      </c>
      <c r="H378" s="115">
        <f t="shared" si="152"/>
        <v>0</v>
      </c>
      <c r="I378" s="115">
        <f t="shared" si="152"/>
        <v>0</v>
      </c>
      <c r="J378" s="115">
        <f t="shared" si="152"/>
        <v>0</v>
      </c>
      <c r="K378" s="115">
        <f t="shared" si="152"/>
        <v>0</v>
      </c>
      <c r="L378" s="115">
        <f t="shared" si="152"/>
        <v>0</v>
      </c>
      <c r="M378" s="115">
        <f t="shared" si="152"/>
        <v>0</v>
      </c>
      <c r="N378" s="115">
        <f t="shared" si="152"/>
        <v>0</v>
      </c>
      <c r="O378" s="115">
        <f t="shared" si="152"/>
        <v>0</v>
      </c>
      <c r="P378" s="115">
        <f t="shared" si="152"/>
        <v>61360</v>
      </c>
      <c r="Q378" s="115">
        <f t="shared" si="152"/>
        <v>62400</v>
      </c>
    </row>
    <row r="379" spans="1:17" s="36" customFormat="1" x14ac:dyDescent="0.25">
      <c r="A379" s="111">
        <f t="shared" si="153"/>
        <v>1110</v>
      </c>
      <c r="B379" s="111" t="str">
        <f t="shared" si="153"/>
        <v>7th Grade Teacher</v>
      </c>
      <c r="D379" s="115">
        <f t="shared" si="145"/>
        <v>52000</v>
      </c>
      <c r="F379" s="115">
        <f t="shared" si="152"/>
        <v>0</v>
      </c>
      <c r="G379" s="115">
        <f t="shared" si="152"/>
        <v>0</v>
      </c>
      <c r="H379" s="115">
        <f t="shared" si="152"/>
        <v>0</v>
      </c>
      <c r="I379" s="115">
        <f t="shared" si="152"/>
        <v>0</v>
      </c>
      <c r="J379" s="115">
        <f t="shared" si="152"/>
        <v>0</v>
      </c>
      <c r="K379" s="115">
        <f t="shared" si="152"/>
        <v>0</v>
      </c>
      <c r="L379" s="115">
        <f t="shared" si="152"/>
        <v>0</v>
      </c>
      <c r="M379" s="115">
        <f t="shared" si="152"/>
        <v>0</v>
      </c>
      <c r="N379" s="115">
        <f t="shared" si="152"/>
        <v>0</v>
      </c>
      <c r="O379" s="115">
        <f t="shared" si="152"/>
        <v>0</v>
      </c>
      <c r="P379" s="115">
        <f t="shared" si="152"/>
        <v>61360</v>
      </c>
      <c r="Q379" s="115">
        <f t="shared" si="152"/>
        <v>0</v>
      </c>
    </row>
    <row r="380" spans="1:17" s="36" customFormat="1" x14ac:dyDescent="0.25">
      <c r="A380" s="111">
        <f t="shared" si="153"/>
        <v>1110</v>
      </c>
      <c r="B380" s="111" t="str">
        <f t="shared" si="153"/>
        <v>7th Grade Teacher</v>
      </c>
      <c r="D380" s="115">
        <f t="shared" ref="D380:D440" si="154">D252</f>
        <v>52000</v>
      </c>
      <c r="F380" s="115">
        <f t="shared" ref="F380:Q395" si="155">$D380*(1+E$5)*F252</f>
        <v>0</v>
      </c>
      <c r="G380" s="115">
        <f t="shared" si="155"/>
        <v>0</v>
      </c>
      <c r="H380" s="115">
        <f t="shared" si="155"/>
        <v>0</v>
      </c>
      <c r="I380" s="115">
        <f t="shared" si="155"/>
        <v>0</v>
      </c>
      <c r="J380" s="115">
        <f t="shared" si="155"/>
        <v>0</v>
      </c>
      <c r="K380" s="115">
        <f t="shared" si="155"/>
        <v>0</v>
      </c>
      <c r="L380" s="115">
        <f t="shared" si="155"/>
        <v>0</v>
      </c>
      <c r="M380" s="115">
        <f t="shared" si="155"/>
        <v>0</v>
      </c>
      <c r="N380" s="115">
        <f t="shared" si="155"/>
        <v>0</v>
      </c>
      <c r="O380" s="115">
        <f t="shared" si="155"/>
        <v>0</v>
      </c>
      <c r="P380" s="115">
        <f t="shared" si="155"/>
        <v>61360</v>
      </c>
      <c r="Q380" s="115">
        <f t="shared" si="155"/>
        <v>0</v>
      </c>
    </row>
    <row r="381" spans="1:17" s="36" customFormat="1" x14ac:dyDescent="0.25">
      <c r="A381" s="111">
        <f t="shared" ref="A381:B396" si="156">A253</f>
        <v>1110</v>
      </c>
      <c r="B381" s="111" t="str">
        <f t="shared" si="156"/>
        <v>7th Grade Teacher</v>
      </c>
      <c r="D381" s="115">
        <f t="shared" si="154"/>
        <v>52000</v>
      </c>
      <c r="F381" s="115">
        <f t="shared" si="155"/>
        <v>0</v>
      </c>
      <c r="G381" s="115">
        <f t="shared" si="155"/>
        <v>0</v>
      </c>
      <c r="H381" s="115">
        <f t="shared" si="155"/>
        <v>0</v>
      </c>
      <c r="I381" s="115">
        <f t="shared" si="155"/>
        <v>0</v>
      </c>
      <c r="J381" s="115">
        <f t="shared" si="155"/>
        <v>0</v>
      </c>
      <c r="K381" s="115">
        <f t="shared" si="155"/>
        <v>0</v>
      </c>
      <c r="L381" s="115">
        <f t="shared" si="155"/>
        <v>0</v>
      </c>
      <c r="M381" s="115">
        <f t="shared" si="155"/>
        <v>0</v>
      </c>
      <c r="N381" s="115">
        <f t="shared" si="155"/>
        <v>0</v>
      </c>
      <c r="O381" s="115">
        <f t="shared" si="155"/>
        <v>0</v>
      </c>
      <c r="P381" s="115">
        <f t="shared" si="155"/>
        <v>0</v>
      </c>
      <c r="Q381" s="115">
        <f t="shared" si="155"/>
        <v>0</v>
      </c>
    </row>
    <row r="382" spans="1:17" s="36" customFormat="1" x14ac:dyDescent="0.25">
      <c r="A382" s="111">
        <f t="shared" si="156"/>
        <v>1110</v>
      </c>
      <c r="B382" s="111" t="str">
        <f t="shared" si="156"/>
        <v>8th Grade Teacher</v>
      </c>
      <c r="D382" s="115">
        <f t="shared" si="154"/>
        <v>52000</v>
      </c>
      <c r="F382" s="115">
        <f t="shared" si="155"/>
        <v>0</v>
      </c>
      <c r="G382" s="115">
        <f t="shared" si="155"/>
        <v>0</v>
      </c>
      <c r="H382" s="115">
        <f t="shared" si="155"/>
        <v>0</v>
      </c>
      <c r="I382" s="115">
        <f t="shared" si="155"/>
        <v>0</v>
      </c>
      <c r="J382" s="115">
        <f t="shared" si="155"/>
        <v>0</v>
      </c>
      <c r="K382" s="115">
        <f t="shared" si="155"/>
        <v>0</v>
      </c>
      <c r="L382" s="115">
        <f t="shared" si="155"/>
        <v>0</v>
      </c>
      <c r="M382" s="115">
        <f t="shared" si="155"/>
        <v>0</v>
      </c>
      <c r="N382" s="115">
        <f t="shared" si="155"/>
        <v>0</v>
      </c>
      <c r="O382" s="115">
        <f t="shared" si="155"/>
        <v>0</v>
      </c>
      <c r="P382" s="115">
        <f t="shared" si="155"/>
        <v>0</v>
      </c>
      <c r="Q382" s="115">
        <f t="shared" si="155"/>
        <v>62400</v>
      </c>
    </row>
    <row r="383" spans="1:17" s="36" customFormat="1" x14ac:dyDescent="0.25">
      <c r="A383" s="111">
        <f t="shared" si="156"/>
        <v>1110</v>
      </c>
      <c r="B383" s="111" t="str">
        <f t="shared" si="156"/>
        <v>8th Grade Teacher</v>
      </c>
      <c r="D383" s="115">
        <f t="shared" si="154"/>
        <v>52000</v>
      </c>
      <c r="F383" s="115">
        <f t="shared" si="155"/>
        <v>0</v>
      </c>
      <c r="G383" s="115">
        <f t="shared" si="155"/>
        <v>0</v>
      </c>
      <c r="H383" s="115">
        <f t="shared" si="155"/>
        <v>0</v>
      </c>
      <c r="I383" s="115">
        <f t="shared" si="155"/>
        <v>0</v>
      </c>
      <c r="J383" s="115">
        <f t="shared" si="155"/>
        <v>0</v>
      </c>
      <c r="K383" s="115">
        <f t="shared" si="155"/>
        <v>0</v>
      </c>
      <c r="L383" s="115">
        <f t="shared" si="155"/>
        <v>0</v>
      </c>
      <c r="M383" s="115">
        <f t="shared" si="155"/>
        <v>0</v>
      </c>
      <c r="N383" s="115">
        <f t="shared" si="155"/>
        <v>0</v>
      </c>
      <c r="O383" s="115">
        <f t="shared" si="155"/>
        <v>0</v>
      </c>
      <c r="P383" s="115">
        <f t="shared" si="155"/>
        <v>0</v>
      </c>
      <c r="Q383" s="115">
        <f t="shared" si="155"/>
        <v>62400</v>
      </c>
    </row>
    <row r="384" spans="1:17" s="36" customFormat="1" x14ac:dyDescent="0.25">
      <c r="A384" s="111">
        <f t="shared" si="156"/>
        <v>1110</v>
      </c>
      <c r="B384" s="111" t="str">
        <f t="shared" si="156"/>
        <v>8th Grade Teacher</v>
      </c>
      <c r="D384" s="115">
        <f t="shared" si="154"/>
        <v>52000</v>
      </c>
      <c r="F384" s="115">
        <f t="shared" si="155"/>
        <v>0</v>
      </c>
      <c r="G384" s="115">
        <f t="shared" si="155"/>
        <v>0</v>
      </c>
      <c r="H384" s="115">
        <f t="shared" si="155"/>
        <v>0</v>
      </c>
      <c r="I384" s="115">
        <f t="shared" si="155"/>
        <v>0</v>
      </c>
      <c r="J384" s="115">
        <f t="shared" si="155"/>
        <v>0</v>
      </c>
      <c r="K384" s="115">
        <f t="shared" si="155"/>
        <v>0</v>
      </c>
      <c r="L384" s="115">
        <f t="shared" si="155"/>
        <v>0</v>
      </c>
      <c r="M384" s="115">
        <f t="shared" si="155"/>
        <v>0</v>
      </c>
      <c r="N384" s="115">
        <f t="shared" si="155"/>
        <v>0</v>
      </c>
      <c r="O384" s="115">
        <f t="shared" si="155"/>
        <v>0</v>
      </c>
      <c r="P384" s="115">
        <f t="shared" si="155"/>
        <v>0</v>
      </c>
      <c r="Q384" s="115">
        <f t="shared" si="155"/>
        <v>62400</v>
      </c>
    </row>
    <row r="385" spans="1:17" s="36" customFormat="1" x14ac:dyDescent="0.25">
      <c r="A385" s="111">
        <f t="shared" si="156"/>
        <v>1110</v>
      </c>
      <c r="B385" s="111" t="str">
        <f t="shared" si="156"/>
        <v>8th Grade Teacher</v>
      </c>
      <c r="D385" s="115">
        <f t="shared" si="154"/>
        <v>52000</v>
      </c>
      <c r="F385" s="115">
        <f t="shared" si="155"/>
        <v>0</v>
      </c>
      <c r="G385" s="115">
        <f t="shared" si="155"/>
        <v>0</v>
      </c>
      <c r="H385" s="115">
        <f t="shared" si="155"/>
        <v>0</v>
      </c>
      <c r="I385" s="115">
        <f t="shared" si="155"/>
        <v>0</v>
      </c>
      <c r="J385" s="115">
        <f t="shared" si="155"/>
        <v>0</v>
      </c>
      <c r="K385" s="115">
        <f t="shared" si="155"/>
        <v>0</v>
      </c>
      <c r="L385" s="115">
        <f t="shared" si="155"/>
        <v>0</v>
      </c>
      <c r="M385" s="115">
        <f t="shared" si="155"/>
        <v>0</v>
      </c>
      <c r="N385" s="115">
        <f t="shared" si="155"/>
        <v>0</v>
      </c>
      <c r="O385" s="115">
        <f t="shared" si="155"/>
        <v>0</v>
      </c>
      <c r="P385" s="115">
        <f t="shared" si="155"/>
        <v>0</v>
      </c>
      <c r="Q385" s="115">
        <f t="shared" si="155"/>
        <v>62400</v>
      </c>
    </row>
    <row r="386" spans="1:17" s="36" customFormat="1" x14ac:dyDescent="0.25">
      <c r="A386" s="111">
        <f t="shared" si="156"/>
        <v>1110</v>
      </c>
      <c r="B386" s="111" t="str">
        <f t="shared" si="156"/>
        <v>8th Grade Teacher</v>
      </c>
      <c r="D386" s="115">
        <f t="shared" si="154"/>
        <v>52000</v>
      </c>
      <c r="F386" s="115">
        <f t="shared" si="155"/>
        <v>0</v>
      </c>
      <c r="G386" s="115">
        <f t="shared" si="155"/>
        <v>0</v>
      </c>
      <c r="H386" s="115">
        <f t="shared" si="155"/>
        <v>0</v>
      </c>
      <c r="I386" s="115">
        <f t="shared" si="155"/>
        <v>0</v>
      </c>
      <c r="J386" s="115">
        <f t="shared" si="155"/>
        <v>0</v>
      </c>
      <c r="K386" s="115">
        <f t="shared" si="155"/>
        <v>0</v>
      </c>
      <c r="L386" s="115">
        <f t="shared" si="155"/>
        <v>0</v>
      </c>
      <c r="M386" s="115">
        <f t="shared" si="155"/>
        <v>0</v>
      </c>
      <c r="N386" s="115">
        <f t="shared" si="155"/>
        <v>0</v>
      </c>
      <c r="O386" s="115">
        <f t="shared" si="155"/>
        <v>0</v>
      </c>
      <c r="P386" s="115">
        <f t="shared" si="155"/>
        <v>0</v>
      </c>
      <c r="Q386" s="115">
        <f t="shared" si="155"/>
        <v>0</v>
      </c>
    </row>
    <row r="387" spans="1:17" s="36" customFormat="1" x14ac:dyDescent="0.25">
      <c r="A387" s="111">
        <f t="shared" si="156"/>
        <v>2100</v>
      </c>
      <c r="B387" s="111" t="str">
        <f t="shared" si="156"/>
        <v xml:space="preserve">Enrichment Teacher - Middle </v>
      </c>
      <c r="D387" s="115">
        <f t="shared" si="154"/>
        <v>52000</v>
      </c>
      <c r="F387" s="115">
        <f t="shared" si="155"/>
        <v>0</v>
      </c>
      <c r="G387" s="115">
        <f t="shared" si="155"/>
        <v>0</v>
      </c>
      <c r="H387" s="115">
        <f t="shared" si="155"/>
        <v>0</v>
      </c>
      <c r="I387" s="115">
        <f t="shared" si="155"/>
        <v>0</v>
      </c>
      <c r="J387" s="115">
        <f t="shared" si="155"/>
        <v>0</v>
      </c>
      <c r="K387" s="115">
        <f t="shared" si="155"/>
        <v>0</v>
      </c>
      <c r="L387" s="115">
        <f t="shared" si="155"/>
        <v>0</v>
      </c>
      <c r="M387" s="115">
        <f t="shared" si="155"/>
        <v>0</v>
      </c>
      <c r="N387" s="115">
        <f t="shared" si="155"/>
        <v>0</v>
      </c>
      <c r="O387" s="115">
        <f t="shared" si="155"/>
        <v>30159.999999999996</v>
      </c>
      <c r="P387" s="115">
        <f t="shared" si="155"/>
        <v>61360</v>
      </c>
      <c r="Q387" s="115">
        <f t="shared" si="155"/>
        <v>62400</v>
      </c>
    </row>
    <row r="388" spans="1:17" s="36" customFormat="1" x14ac:dyDescent="0.25">
      <c r="A388" s="111">
        <f t="shared" si="156"/>
        <v>2100</v>
      </c>
      <c r="B388" s="111" t="str">
        <f t="shared" si="156"/>
        <v xml:space="preserve">Enrichment Teacher - Middle </v>
      </c>
      <c r="D388" s="115">
        <f t="shared" si="154"/>
        <v>52000</v>
      </c>
      <c r="F388" s="115">
        <f t="shared" si="155"/>
        <v>0</v>
      </c>
      <c r="G388" s="115">
        <f t="shared" si="155"/>
        <v>0</v>
      </c>
      <c r="H388" s="115">
        <f t="shared" si="155"/>
        <v>0</v>
      </c>
      <c r="I388" s="115">
        <f t="shared" si="155"/>
        <v>0</v>
      </c>
      <c r="J388" s="115">
        <f t="shared" si="155"/>
        <v>0</v>
      </c>
      <c r="K388" s="115">
        <f t="shared" si="155"/>
        <v>0</v>
      </c>
      <c r="L388" s="115">
        <f t="shared" si="155"/>
        <v>0</v>
      </c>
      <c r="M388" s="115">
        <f t="shared" si="155"/>
        <v>0</v>
      </c>
      <c r="N388" s="115">
        <f t="shared" si="155"/>
        <v>0</v>
      </c>
      <c r="O388" s="115">
        <f t="shared" si="155"/>
        <v>0</v>
      </c>
      <c r="P388" s="115">
        <f t="shared" si="155"/>
        <v>0</v>
      </c>
      <c r="Q388" s="115">
        <f t="shared" si="155"/>
        <v>31200</v>
      </c>
    </row>
    <row r="389" spans="1:17" s="36" customFormat="1" x14ac:dyDescent="0.25">
      <c r="A389" s="111">
        <f t="shared" si="156"/>
        <v>2200</v>
      </c>
      <c r="B389" s="111" t="str">
        <f t="shared" si="156"/>
        <v>Lunch Leader/Nutrition</v>
      </c>
      <c r="D389" s="115">
        <f t="shared" si="154"/>
        <v>11830</v>
      </c>
      <c r="F389" s="115">
        <f t="shared" si="155"/>
        <v>0</v>
      </c>
      <c r="G389" s="115">
        <f t="shared" si="155"/>
        <v>0</v>
      </c>
      <c r="H389" s="115">
        <f t="shared" si="155"/>
        <v>0</v>
      </c>
      <c r="I389" s="115">
        <f t="shared" si="155"/>
        <v>0</v>
      </c>
      <c r="J389" s="115">
        <f t="shared" si="155"/>
        <v>0</v>
      </c>
      <c r="K389" s="115">
        <f t="shared" si="155"/>
        <v>0</v>
      </c>
      <c r="L389" s="115">
        <f t="shared" si="155"/>
        <v>0</v>
      </c>
      <c r="M389" s="115">
        <f t="shared" si="155"/>
        <v>0</v>
      </c>
      <c r="N389" s="115">
        <f t="shared" si="155"/>
        <v>13486.2</v>
      </c>
      <c r="O389" s="115">
        <f t="shared" si="155"/>
        <v>13722.8</v>
      </c>
      <c r="P389" s="115">
        <f t="shared" si="155"/>
        <v>13959.4</v>
      </c>
      <c r="Q389" s="115">
        <f t="shared" si="155"/>
        <v>14196</v>
      </c>
    </row>
    <row r="390" spans="1:17" s="36" customFormat="1" x14ac:dyDescent="0.25">
      <c r="A390" s="111">
        <f t="shared" si="156"/>
        <v>2200</v>
      </c>
      <c r="B390" s="111" t="str">
        <f t="shared" si="156"/>
        <v>Lunch Leader/Nutrition</v>
      </c>
      <c r="D390" s="115">
        <f t="shared" si="154"/>
        <v>11830</v>
      </c>
      <c r="F390" s="115">
        <f t="shared" si="155"/>
        <v>0</v>
      </c>
      <c r="G390" s="115">
        <f t="shared" si="155"/>
        <v>0</v>
      </c>
      <c r="H390" s="115">
        <f t="shared" si="155"/>
        <v>0</v>
      </c>
      <c r="I390" s="115">
        <f t="shared" si="155"/>
        <v>0</v>
      </c>
      <c r="J390" s="115">
        <f t="shared" si="155"/>
        <v>0</v>
      </c>
      <c r="K390" s="115">
        <f t="shared" si="155"/>
        <v>0</v>
      </c>
      <c r="L390" s="115">
        <f t="shared" si="155"/>
        <v>0</v>
      </c>
      <c r="M390" s="115">
        <f t="shared" si="155"/>
        <v>0</v>
      </c>
      <c r="N390" s="115">
        <f t="shared" si="155"/>
        <v>0</v>
      </c>
      <c r="O390" s="115">
        <f t="shared" si="155"/>
        <v>6861.4</v>
      </c>
      <c r="P390" s="115">
        <f t="shared" si="155"/>
        <v>6979.7</v>
      </c>
      <c r="Q390" s="115">
        <f t="shared" si="155"/>
        <v>14196</v>
      </c>
    </row>
    <row r="391" spans="1:17" s="36" customFormat="1" x14ac:dyDescent="0.25">
      <c r="A391" s="111">
        <f t="shared" si="156"/>
        <v>2200</v>
      </c>
      <c r="B391" s="111" t="str">
        <f t="shared" si="156"/>
        <v>Lunch Leader/Nutrition</v>
      </c>
      <c r="D391" s="115">
        <f t="shared" si="154"/>
        <v>11830</v>
      </c>
      <c r="F391" s="115">
        <f t="shared" si="155"/>
        <v>0</v>
      </c>
      <c r="G391" s="115">
        <f t="shared" si="155"/>
        <v>0</v>
      </c>
      <c r="H391" s="115">
        <f t="shared" si="155"/>
        <v>0</v>
      </c>
      <c r="I391" s="115">
        <f t="shared" si="155"/>
        <v>0</v>
      </c>
      <c r="J391" s="115">
        <f t="shared" si="155"/>
        <v>0</v>
      </c>
      <c r="K391" s="115">
        <f t="shared" si="155"/>
        <v>0</v>
      </c>
      <c r="L391" s="115">
        <f t="shared" si="155"/>
        <v>0</v>
      </c>
      <c r="M391" s="115">
        <f t="shared" si="155"/>
        <v>0</v>
      </c>
      <c r="N391" s="115">
        <f t="shared" si="155"/>
        <v>0</v>
      </c>
      <c r="O391" s="115">
        <f t="shared" si="155"/>
        <v>0</v>
      </c>
      <c r="P391" s="115">
        <f t="shared" si="155"/>
        <v>0</v>
      </c>
      <c r="Q391" s="115">
        <f t="shared" si="155"/>
        <v>0</v>
      </c>
    </row>
    <row r="392" spans="1:17" s="36" customFormat="1" x14ac:dyDescent="0.25">
      <c r="A392" s="111">
        <f t="shared" si="156"/>
        <v>2200</v>
      </c>
      <c r="B392" s="111" t="str">
        <f t="shared" si="156"/>
        <v>Lunch Leader/Nutrition</v>
      </c>
      <c r="D392" s="115">
        <f t="shared" si="154"/>
        <v>11830</v>
      </c>
      <c r="F392" s="115">
        <f t="shared" si="155"/>
        <v>0</v>
      </c>
      <c r="G392" s="115">
        <f t="shared" si="155"/>
        <v>0</v>
      </c>
      <c r="H392" s="115">
        <f t="shared" si="155"/>
        <v>0</v>
      </c>
      <c r="I392" s="115">
        <f t="shared" si="155"/>
        <v>0</v>
      </c>
      <c r="J392" s="115">
        <f t="shared" si="155"/>
        <v>0</v>
      </c>
      <c r="K392" s="115">
        <f t="shared" si="155"/>
        <v>0</v>
      </c>
      <c r="L392" s="115">
        <f t="shared" si="155"/>
        <v>0</v>
      </c>
      <c r="M392" s="115">
        <f t="shared" si="155"/>
        <v>0</v>
      </c>
      <c r="N392" s="115">
        <f t="shared" si="155"/>
        <v>0</v>
      </c>
      <c r="O392" s="115">
        <f t="shared" si="155"/>
        <v>0</v>
      </c>
      <c r="P392" s="115">
        <f t="shared" si="155"/>
        <v>0</v>
      </c>
      <c r="Q392" s="115">
        <f t="shared" si="155"/>
        <v>0</v>
      </c>
    </row>
    <row r="393" spans="1:17" s="36" customFormat="1" x14ac:dyDescent="0.25">
      <c r="A393" s="111">
        <f t="shared" si="156"/>
        <v>2200</v>
      </c>
      <c r="B393" s="111" t="str">
        <f t="shared" si="156"/>
        <v>Lunch Leader/Nutrition</v>
      </c>
      <c r="D393" s="115">
        <f t="shared" si="154"/>
        <v>11830</v>
      </c>
      <c r="F393" s="115">
        <f t="shared" si="155"/>
        <v>0</v>
      </c>
      <c r="G393" s="115">
        <f t="shared" si="155"/>
        <v>0</v>
      </c>
      <c r="H393" s="115">
        <f t="shared" si="155"/>
        <v>0</v>
      </c>
      <c r="I393" s="115">
        <f t="shared" si="155"/>
        <v>0</v>
      </c>
      <c r="J393" s="115">
        <f t="shared" si="155"/>
        <v>0</v>
      </c>
      <c r="K393" s="115">
        <f t="shared" si="155"/>
        <v>0</v>
      </c>
      <c r="L393" s="115">
        <f t="shared" si="155"/>
        <v>0</v>
      </c>
      <c r="M393" s="115">
        <f t="shared" si="155"/>
        <v>0</v>
      </c>
      <c r="N393" s="115">
        <f t="shared" si="155"/>
        <v>0</v>
      </c>
      <c r="O393" s="115">
        <f t="shared" si="155"/>
        <v>0</v>
      </c>
      <c r="P393" s="115">
        <f t="shared" si="155"/>
        <v>0</v>
      </c>
      <c r="Q393" s="115">
        <f t="shared" si="155"/>
        <v>0</v>
      </c>
    </row>
    <row r="394" spans="1:17" s="36" customFormat="1" x14ac:dyDescent="0.25">
      <c r="A394" s="111">
        <f t="shared" si="156"/>
        <v>2200</v>
      </c>
      <c r="B394" s="111" t="str">
        <f t="shared" si="156"/>
        <v>Lunch Leader/Nutrition</v>
      </c>
      <c r="D394" s="115">
        <f t="shared" si="154"/>
        <v>11830</v>
      </c>
      <c r="F394" s="115">
        <f t="shared" si="155"/>
        <v>0</v>
      </c>
      <c r="G394" s="115">
        <f t="shared" si="155"/>
        <v>0</v>
      </c>
      <c r="H394" s="115">
        <f t="shared" si="155"/>
        <v>0</v>
      </c>
      <c r="I394" s="115">
        <f t="shared" si="155"/>
        <v>0</v>
      </c>
      <c r="J394" s="115">
        <f t="shared" si="155"/>
        <v>0</v>
      </c>
      <c r="K394" s="115">
        <f t="shared" si="155"/>
        <v>0</v>
      </c>
      <c r="L394" s="115">
        <f t="shared" si="155"/>
        <v>0</v>
      </c>
      <c r="M394" s="115">
        <f t="shared" si="155"/>
        <v>0</v>
      </c>
      <c r="N394" s="115">
        <f t="shared" si="155"/>
        <v>0</v>
      </c>
      <c r="O394" s="115">
        <f t="shared" si="155"/>
        <v>0</v>
      </c>
      <c r="P394" s="115">
        <f t="shared" si="155"/>
        <v>0</v>
      </c>
      <c r="Q394" s="115">
        <f t="shared" si="155"/>
        <v>0</v>
      </c>
    </row>
    <row r="395" spans="1:17" s="36" customFormat="1" x14ac:dyDescent="0.25">
      <c r="A395" s="111">
        <f t="shared" si="156"/>
        <v>2200</v>
      </c>
      <c r="B395" s="111" t="str">
        <f t="shared" si="156"/>
        <v>Lunch Leader/Nutrition</v>
      </c>
      <c r="D395" s="115">
        <f t="shared" si="154"/>
        <v>11830</v>
      </c>
      <c r="F395" s="115">
        <f t="shared" si="155"/>
        <v>0</v>
      </c>
      <c r="G395" s="115">
        <f t="shared" si="155"/>
        <v>0</v>
      </c>
      <c r="H395" s="115">
        <f t="shared" si="155"/>
        <v>0</v>
      </c>
      <c r="I395" s="115">
        <f t="shared" si="155"/>
        <v>0</v>
      </c>
      <c r="J395" s="115">
        <f t="shared" si="155"/>
        <v>0</v>
      </c>
      <c r="K395" s="115">
        <f t="shared" si="155"/>
        <v>0</v>
      </c>
      <c r="L395" s="115">
        <f t="shared" si="155"/>
        <v>0</v>
      </c>
      <c r="M395" s="115">
        <f t="shared" si="155"/>
        <v>0</v>
      </c>
      <c r="N395" s="115">
        <f t="shared" si="155"/>
        <v>0</v>
      </c>
      <c r="O395" s="115">
        <f t="shared" si="155"/>
        <v>0</v>
      </c>
      <c r="P395" s="115">
        <f t="shared" si="155"/>
        <v>0</v>
      </c>
      <c r="Q395" s="115">
        <f t="shared" si="155"/>
        <v>0</v>
      </c>
    </row>
    <row r="396" spans="1:17" s="36" customFormat="1" x14ac:dyDescent="0.25">
      <c r="A396" s="111">
        <f t="shared" si="156"/>
        <v>2200</v>
      </c>
      <c r="B396" s="111" t="str">
        <f t="shared" si="156"/>
        <v>Housekeeping/Maintenance</v>
      </c>
      <c r="D396" s="115">
        <f t="shared" si="154"/>
        <v>11830</v>
      </c>
      <c r="F396" s="115">
        <f t="shared" ref="F396:Q411" si="157">$D396*(1+E$5)*F268</f>
        <v>0</v>
      </c>
      <c r="G396" s="115">
        <f t="shared" si="157"/>
        <v>0</v>
      </c>
      <c r="H396" s="115">
        <f t="shared" si="157"/>
        <v>0</v>
      </c>
      <c r="I396" s="115">
        <f t="shared" si="157"/>
        <v>0</v>
      </c>
      <c r="J396" s="115">
        <f t="shared" si="157"/>
        <v>0</v>
      </c>
      <c r="K396" s="115">
        <f t="shared" si="157"/>
        <v>0</v>
      </c>
      <c r="L396" s="115">
        <f t="shared" si="157"/>
        <v>0</v>
      </c>
      <c r="M396" s="115">
        <f t="shared" si="157"/>
        <v>0</v>
      </c>
      <c r="N396" s="115">
        <f t="shared" si="157"/>
        <v>13486.2</v>
      </c>
      <c r="O396" s="115">
        <f t="shared" si="157"/>
        <v>13722.8</v>
      </c>
      <c r="P396" s="115">
        <f t="shared" si="157"/>
        <v>13959.4</v>
      </c>
      <c r="Q396" s="115">
        <f t="shared" si="157"/>
        <v>14196</v>
      </c>
    </row>
    <row r="397" spans="1:17" s="36" customFormat="1" x14ac:dyDescent="0.25">
      <c r="A397" s="111">
        <f t="shared" ref="A397:B409" si="158">A269</f>
        <v>2200</v>
      </c>
      <c r="B397" s="111" t="str">
        <f t="shared" si="158"/>
        <v>Housekeeping/Maintenance</v>
      </c>
      <c r="D397" s="115">
        <f t="shared" si="154"/>
        <v>11830</v>
      </c>
      <c r="F397" s="115">
        <f t="shared" si="157"/>
        <v>0</v>
      </c>
      <c r="G397" s="115">
        <f t="shared" si="157"/>
        <v>0</v>
      </c>
      <c r="H397" s="115">
        <f t="shared" si="157"/>
        <v>0</v>
      </c>
      <c r="I397" s="115">
        <f t="shared" si="157"/>
        <v>0</v>
      </c>
      <c r="J397" s="115">
        <f t="shared" si="157"/>
        <v>0</v>
      </c>
      <c r="K397" s="115">
        <f t="shared" si="157"/>
        <v>0</v>
      </c>
      <c r="L397" s="115">
        <f t="shared" si="157"/>
        <v>0</v>
      </c>
      <c r="M397" s="115">
        <f t="shared" si="157"/>
        <v>0</v>
      </c>
      <c r="N397" s="115">
        <f t="shared" si="157"/>
        <v>0</v>
      </c>
      <c r="O397" s="115">
        <f t="shared" si="157"/>
        <v>0</v>
      </c>
      <c r="P397" s="115">
        <f t="shared" si="157"/>
        <v>0</v>
      </c>
      <c r="Q397" s="115">
        <f t="shared" si="157"/>
        <v>7098</v>
      </c>
    </row>
    <row r="398" spans="1:17" s="36" customFormat="1" x14ac:dyDescent="0.25">
      <c r="A398" s="111">
        <f t="shared" si="158"/>
        <v>2200</v>
      </c>
      <c r="B398" s="111" t="str">
        <f t="shared" si="158"/>
        <v>Housekeeping/Maintenance</v>
      </c>
      <c r="D398" s="115">
        <f t="shared" si="154"/>
        <v>11830</v>
      </c>
      <c r="F398" s="115">
        <f t="shared" si="157"/>
        <v>0</v>
      </c>
      <c r="G398" s="115">
        <f t="shared" si="157"/>
        <v>0</v>
      </c>
      <c r="H398" s="115">
        <f t="shared" si="157"/>
        <v>0</v>
      </c>
      <c r="I398" s="115">
        <f t="shared" si="157"/>
        <v>0</v>
      </c>
      <c r="J398" s="115">
        <f t="shared" si="157"/>
        <v>0</v>
      </c>
      <c r="K398" s="115">
        <f t="shared" si="157"/>
        <v>0</v>
      </c>
      <c r="L398" s="115">
        <f t="shared" si="157"/>
        <v>0</v>
      </c>
      <c r="M398" s="115">
        <f t="shared" si="157"/>
        <v>0</v>
      </c>
      <c r="N398" s="115">
        <f t="shared" si="157"/>
        <v>0</v>
      </c>
      <c r="O398" s="115">
        <f t="shared" si="157"/>
        <v>0</v>
      </c>
      <c r="P398" s="115">
        <f t="shared" si="157"/>
        <v>0</v>
      </c>
      <c r="Q398" s="115">
        <f t="shared" si="157"/>
        <v>0</v>
      </c>
    </row>
    <row r="399" spans="1:17" s="36" customFormat="1" x14ac:dyDescent="0.25">
      <c r="A399" s="111">
        <f t="shared" si="158"/>
        <v>2200</v>
      </c>
      <c r="B399" s="111" t="str">
        <f t="shared" si="158"/>
        <v>Housekeeping/Maintenance</v>
      </c>
      <c r="D399" s="115">
        <f t="shared" si="154"/>
        <v>11830</v>
      </c>
      <c r="F399" s="115">
        <f t="shared" si="157"/>
        <v>0</v>
      </c>
      <c r="G399" s="115">
        <f t="shared" si="157"/>
        <v>0</v>
      </c>
      <c r="H399" s="115">
        <f t="shared" si="157"/>
        <v>0</v>
      </c>
      <c r="I399" s="115">
        <f t="shared" si="157"/>
        <v>0</v>
      </c>
      <c r="J399" s="115">
        <f t="shared" si="157"/>
        <v>0</v>
      </c>
      <c r="K399" s="115">
        <f t="shared" si="157"/>
        <v>0</v>
      </c>
      <c r="L399" s="115">
        <f t="shared" si="157"/>
        <v>0</v>
      </c>
      <c r="M399" s="115">
        <f t="shared" si="157"/>
        <v>0</v>
      </c>
      <c r="N399" s="115">
        <f t="shared" si="157"/>
        <v>0</v>
      </c>
      <c r="O399" s="115">
        <f t="shared" si="157"/>
        <v>0</v>
      </c>
      <c r="P399" s="115">
        <f t="shared" si="157"/>
        <v>0</v>
      </c>
      <c r="Q399" s="115">
        <f t="shared" si="157"/>
        <v>0</v>
      </c>
    </row>
    <row r="400" spans="1:17" s="36" customFormat="1" x14ac:dyDescent="0.25">
      <c r="A400" s="111">
        <f t="shared" si="158"/>
        <v>2200</v>
      </c>
      <c r="B400" s="111" t="str">
        <f t="shared" si="158"/>
        <v>Housekeeping/Maintenance</v>
      </c>
      <c r="D400" s="115">
        <f t="shared" si="154"/>
        <v>11830</v>
      </c>
      <c r="F400" s="115">
        <f t="shared" si="157"/>
        <v>0</v>
      </c>
      <c r="G400" s="115">
        <f t="shared" si="157"/>
        <v>0</v>
      </c>
      <c r="H400" s="115">
        <f t="shared" si="157"/>
        <v>0</v>
      </c>
      <c r="I400" s="115">
        <f t="shared" si="157"/>
        <v>0</v>
      </c>
      <c r="J400" s="115">
        <f t="shared" si="157"/>
        <v>0</v>
      </c>
      <c r="K400" s="115">
        <f t="shared" si="157"/>
        <v>0</v>
      </c>
      <c r="L400" s="115">
        <f t="shared" si="157"/>
        <v>0</v>
      </c>
      <c r="M400" s="115">
        <f t="shared" si="157"/>
        <v>0</v>
      </c>
      <c r="N400" s="115">
        <f t="shared" si="157"/>
        <v>0</v>
      </c>
      <c r="O400" s="115">
        <f t="shared" si="157"/>
        <v>0</v>
      </c>
      <c r="P400" s="115">
        <f t="shared" si="157"/>
        <v>0</v>
      </c>
      <c r="Q400" s="115">
        <f t="shared" si="157"/>
        <v>0</v>
      </c>
    </row>
    <row r="401" spans="1:17" s="36" customFormat="1" x14ac:dyDescent="0.25">
      <c r="A401" s="111">
        <f t="shared" si="158"/>
        <v>1110</v>
      </c>
      <c r="B401" s="111" t="str">
        <f t="shared" si="158"/>
        <v>ELA 9th</v>
      </c>
      <c r="D401" s="115">
        <f t="shared" si="154"/>
        <v>52000</v>
      </c>
      <c r="F401" s="115">
        <f t="shared" si="157"/>
        <v>0</v>
      </c>
      <c r="G401" s="115">
        <f t="shared" si="157"/>
        <v>0</v>
      </c>
      <c r="H401" s="115">
        <f t="shared" si="157"/>
        <v>0</v>
      </c>
      <c r="I401" s="115">
        <f t="shared" si="157"/>
        <v>0</v>
      </c>
      <c r="J401" s="115">
        <f t="shared" si="157"/>
        <v>0</v>
      </c>
      <c r="K401" s="115">
        <f t="shared" si="157"/>
        <v>0</v>
      </c>
      <c r="L401" s="115">
        <f t="shared" si="157"/>
        <v>0</v>
      </c>
      <c r="M401" s="115">
        <f t="shared" si="157"/>
        <v>0</v>
      </c>
      <c r="N401" s="115">
        <f t="shared" si="157"/>
        <v>0</v>
      </c>
      <c r="O401" s="115">
        <f t="shared" si="157"/>
        <v>0</v>
      </c>
      <c r="P401" s="115">
        <f t="shared" si="157"/>
        <v>0</v>
      </c>
      <c r="Q401" s="115">
        <f t="shared" si="157"/>
        <v>0</v>
      </c>
    </row>
    <row r="402" spans="1:17" s="36" customFormat="1" x14ac:dyDescent="0.25">
      <c r="A402" s="111">
        <f t="shared" si="158"/>
        <v>1110</v>
      </c>
      <c r="B402" s="111" t="str">
        <f t="shared" si="158"/>
        <v xml:space="preserve">ELA 10th </v>
      </c>
      <c r="D402" s="115">
        <f t="shared" si="154"/>
        <v>52000</v>
      </c>
      <c r="F402" s="115">
        <f t="shared" si="157"/>
        <v>0</v>
      </c>
      <c r="G402" s="115">
        <f t="shared" si="157"/>
        <v>0</v>
      </c>
      <c r="H402" s="115">
        <f t="shared" si="157"/>
        <v>0</v>
      </c>
      <c r="I402" s="115">
        <f t="shared" si="157"/>
        <v>0</v>
      </c>
      <c r="J402" s="115">
        <f t="shared" si="157"/>
        <v>0</v>
      </c>
      <c r="K402" s="115">
        <f t="shared" si="157"/>
        <v>0</v>
      </c>
      <c r="L402" s="115">
        <f t="shared" si="157"/>
        <v>0</v>
      </c>
      <c r="M402" s="115">
        <f t="shared" si="157"/>
        <v>0</v>
      </c>
      <c r="N402" s="115">
        <f t="shared" si="157"/>
        <v>0</v>
      </c>
      <c r="O402" s="115">
        <f t="shared" si="157"/>
        <v>0</v>
      </c>
      <c r="P402" s="115">
        <f t="shared" si="157"/>
        <v>0</v>
      </c>
      <c r="Q402" s="115">
        <f t="shared" si="157"/>
        <v>0</v>
      </c>
    </row>
    <row r="403" spans="1:17" s="36" customFormat="1" x14ac:dyDescent="0.25">
      <c r="A403" s="111">
        <f t="shared" si="158"/>
        <v>1110</v>
      </c>
      <c r="B403" s="111" t="str">
        <f t="shared" si="158"/>
        <v xml:space="preserve">ELA 11th </v>
      </c>
      <c r="D403" s="115">
        <f t="shared" si="154"/>
        <v>52000</v>
      </c>
      <c r="F403" s="115">
        <f t="shared" si="157"/>
        <v>0</v>
      </c>
      <c r="G403" s="115">
        <f t="shared" si="157"/>
        <v>0</v>
      </c>
      <c r="H403" s="115">
        <f t="shared" si="157"/>
        <v>0</v>
      </c>
      <c r="I403" s="115">
        <f t="shared" si="157"/>
        <v>0</v>
      </c>
      <c r="J403" s="115">
        <f t="shared" si="157"/>
        <v>0</v>
      </c>
      <c r="K403" s="115">
        <f t="shared" si="157"/>
        <v>0</v>
      </c>
      <c r="L403" s="115">
        <f t="shared" si="157"/>
        <v>0</v>
      </c>
      <c r="M403" s="115">
        <f t="shared" si="157"/>
        <v>0</v>
      </c>
      <c r="N403" s="115">
        <f t="shared" si="157"/>
        <v>0</v>
      </c>
      <c r="O403" s="115">
        <f t="shared" si="157"/>
        <v>0</v>
      </c>
      <c r="P403" s="115">
        <f t="shared" si="157"/>
        <v>0</v>
      </c>
      <c r="Q403" s="115">
        <f t="shared" si="157"/>
        <v>0</v>
      </c>
    </row>
    <row r="404" spans="1:17" s="36" customFormat="1" x14ac:dyDescent="0.25">
      <c r="A404" s="111">
        <f t="shared" si="158"/>
        <v>1110</v>
      </c>
      <c r="B404" s="111" t="str">
        <f t="shared" si="158"/>
        <v xml:space="preserve">ELA 12th </v>
      </c>
      <c r="D404" s="115">
        <f t="shared" si="154"/>
        <v>52000</v>
      </c>
      <c r="F404" s="115">
        <f t="shared" si="157"/>
        <v>0</v>
      </c>
      <c r="G404" s="115">
        <f t="shared" si="157"/>
        <v>0</v>
      </c>
      <c r="H404" s="115">
        <f t="shared" si="157"/>
        <v>0</v>
      </c>
      <c r="I404" s="115">
        <f t="shared" si="157"/>
        <v>0</v>
      </c>
      <c r="J404" s="115">
        <f t="shared" si="157"/>
        <v>0</v>
      </c>
      <c r="K404" s="115">
        <f t="shared" si="157"/>
        <v>0</v>
      </c>
      <c r="L404" s="115">
        <f t="shared" si="157"/>
        <v>0</v>
      </c>
      <c r="M404" s="115">
        <f t="shared" si="157"/>
        <v>0</v>
      </c>
      <c r="N404" s="115">
        <f t="shared" si="157"/>
        <v>0</v>
      </c>
      <c r="O404" s="115">
        <f t="shared" si="157"/>
        <v>0</v>
      </c>
      <c r="P404" s="115">
        <f t="shared" si="157"/>
        <v>0</v>
      </c>
      <c r="Q404" s="115">
        <f t="shared" si="157"/>
        <v>0</v>
      </c>
    </row>
    <row r="405" spans="1:17" s="36" customFormat="1" x14ac:dyDescent="0.25">
      <c r="A405" s="111">
        <f t="shared" si="158"/>
        <v>1110</v>
      </c>
      <c r="B405" s="111" t="str">
        <f t="shared" si="158"/>
        <v xml:space="preserve">Math 9th </v>
      </c>
      <c r="D405" s="115">
        <f t="shared" si="154"/>
        <v>52000</v>
      </c>
      <c r="F405" s="115">
        <f t="shared" si="157"/>
        <v>0</v>
      </c>
      <c r="G405" s="115">
        <f t="shared" si="157"/>
        <v>0</v>
      </c>
      <c r="H405" s="115">
        <f t="shared" si="157"/>
        <v>0</v>
      </c>
      <c r="I405" s="115">
        <f t="shared" si="157"/>
        <v>0</v>
      </c>
      <c r="J405" s="115">
        <f t="shared" si="157"/>
        <v>0</v>
      </c>
      <c r="K405" s="115">
        <f t="shared" si="157"/>
        <v>0</v>
      </c>
      <c r="L405" s="115">
        <f t="shared" si="157"/>
        <v>0</v>
      </c>
      <c r="M405" s="115">
        <f t="shared" si="157"/>
        <v>0</v>
      </c>
      <c r="N405" s="115">
        <f t="shared" si="157"/>
        <v>0</v>
      </c>
      <c r="O405" s="115">
        <f t="shared" si="157"/>
        <v>0</v>
      </c>
      <c r="P405" s="115">
        <f t="shared" si="157"/>
        <v>0</v>
      </c>
      <c r="Q405" s="115">
        <f t="shared" si="157"/>
        <v>0</v>
      </c>
    </row>
    <row r="406" spans="1:17" s="36" customFormat="1" x14ac:dyDescent="0.25">
      <c r="A406" s="111">
        <f t="shared" si="158"/>
        <v>1110</v>
      </c>
      <c r="B406" s="111" t="str">
        <f t="shared" si="158"/>
        <v>Math 10th</v>
      </c>
      <c r="D406" s="115">
        <f t="shared" si="154"/>
        <v>52000</v>
      </c>
      <c r="F406" s="115">
        <f t="shared" si="157"/>
        <v>0</v>
      </c>
      <c r="G406" s="115">
        <f t="shared" si="157"/>
        <v>0</v>
      </c>
      <c r="H406" s="115">
        <f t="shared" si="157"/>
        <v>0</v>
      </c>
      <c r="I406" s="115">
        <f t="shared" si="157"/>
        <v>0</v>
      </c>
      <c r="J406" s="115">
        <f t="shared" si="157"/>
        <v>0</v>
      </c>
      <c r="K406" s="115">
        <f t="shared" si="157"/>
        <v>0</v>
      </c>
      <c r="L406" s="115">
        <f t="shared" si="157"/>
        <v>0</v>
      </c>
      <c r="M406" s="115">
        <f t="shared" si="157"/>
        <v>0</v>
      </c>
      <c r="N406" s="115">
        <f t="shared" si="157"/>
        <v>0</v>
      </c>
      <c r="O406" s="115">
        <f t="shared" si="157"/>
        <v>0</v>
      </c>
      <c r="P406" s="115">
        <f t="shared" si="157"/>
        <v>0</v>
      </c>
      <c r="Q406" s="115">
        <f t="shared" si="157"/>
        <v>0</v>
      </c>
    </row>
    <row r="407" spans="1:17" s="36" customFormat="1" x14ac:dyDescent="0.25">
      <c r="A407" s="111">
        <f t="shared" si="158"/>
        <v>1110</v>
      </c>
      <c r="B407" s="111" t="str">
        <f t="shared" si="158"/>
        <v xml:space="preserve">Math 11th </v>
      </c>
      <c r="D407" s="115">
        <f t="shared" si="154"/>
        <v>52000</v>
      </c>
      <c r="F407" s="115">
        <f t="shared" si="157"/>
        <v>0</v>
      </c>
      <c r="G407" s="115">
        <f t="shared" si="157"/>
        <v>0</v>
      </c>
      <c r="H407" s="115">
        <f t="shared" si="157"/>
        <v>0</v>
      </c>
      <c r="I407" s="115">
        <f t="shared" si="157"/>
        <v>0</v>
      </c>
      <c r="J407" s="115">
        <f t="shared" si="157"/>
        <v>0</v>
      </c>
      <c r="K407" s="115">
        <f t="shared" si="157"/>
        <v>0</v>
      </c>
      <c r="L407" s="115">
        <f t="shared" si="157"/>
        <v>0</v>
      </c>
      <c r="M407" s="115">
        <f t="shared" si="157"/>
        <v>0</v>
      </c>
      <c r="N407" s="115">
        <f t="shared" si="157"/>
        <v>0</v>
      </c>
      <c r="O407" s="115">
        <f t="shared" si="157"/>
        <v>0</v>
      </c>
      <c r="P407" s="115">
        <f t="shared" si="157"/>
        <v>0</v>
      </c>
      <c r="Q407" s="115">
        <f t="shared" si="157"/>
        <v>0</v>
      </c>
    </row>
    <row r="408" spans="1:17" s="36" customFormat="1" x14ac:dyDescent="0.25">
      <c r="A408" s="111">
        <f t="shared" si="158"/>
        <v>1110</v>
      </c>
      <c r="B408" s="111" t="str">
        <f t="shared" si="158"/>
        <v xml:space="preserve">Math 12th </v>
      </c>
      <c r="D408" s="115">
        <f t="shared" si="154"/>
        <v>52000</v>
      </c>
      <c r="F408" s="115">
        <f t="shared" si="157"/>
        <v>0</v>
      </c>
      <c r="G408" s="115">
        <f t="shared" si="157"/>
        <v>0</v>
      </c>
      <c r="H408" s="115">
        <f t="shared" si="157"/>
        <v>0</v>
      </c>
      <c r="I408" s="115">
        <f t="shared" si="157"/>
        <v>0</v>
      </c>
      <c r="J408" s="115">
        <f t="shared" si="157"/>
        <v>0</v>
      </c>
      <c r="K408" s="115">
        <f t="shared" si="157"/>
        <v>0</v>
      </c>
      <c r="L408" s="115">
        <f t="shared" si="157"/>
        <v>0</v>
      </c>
      <c r="M408" s="115">
        <f t="shared" si="157"/>
        <v>0</v>
      </c>
      <c r="N408" s="115">
        <f t="shared" si="157"/>
        <v>0</v>
      </c>
      <c r="O408" s="115">
        <f t="shared" si="157"/>
        <v>0</v>
      </c>
      <c r="P408" s="115">
        <f t="shared" si="157"/>
        <v>0</v>
      </c>
      <c r="Q408" s="115">
        <f t="shared" si="157"/>
        <v>0</v>
      </c>
    </row>
    <row r="409" spans="1:17" s="36" customFormat="1" x14ac:dyDescent="0.25">
      <c r="A409" s="111">
        <f>A281</f>
        <v>1110</v>
      </c>
      <c r="B409" s="111" t="str">
        <f t="shared" si="158"/>
        <v xml:space="preserve">Humanities 9th </v>
      </c>
      <c r="D409" s="115">
        <f t="shared" si="154"/>
        <v>52000</v>
      </c>
      <c r="F409" s="115">
        <f t="shared" si="157"/>
        <v>0</v>
      </c>
      <c r="G409" s="115">
        <f t="shared" si="157"/>
        <v>0</v>
      </c>
      <c r="H409" s="115">
        <f t="shared" si="157"/>
        <v>0</v>
      </c>
      <c r="I409" s="115">
        <f t="shared" si="157"/>
        <v>0</v>
      </c>
      <c r="J409" s="115">
        <f t="shared" si="157"/>
        <v>0</v>
      </c>
      <c r="K409" s="115">
        <f t="shared" si="157"/>
        <v>0</v>
      </c>
      <c r="L409" s="115">
        <f t="shared" si="157"/>
        <v>0</v>
      </c>
      <c r="M409" s="115">
        <f t="shared" si="157"/>
        <v>0</v>
      </c>
      <c r="N409" s="115">
        <f t="shared" si="157"/>
        <v>0</v>
      </c>
      <c r="O409" s="115">
        <f t="shared" si="157"/>
        <v>0</v>
      </c>
      <c r="P409" s="115">
        <f t="shared" si="157"/>
        <v>0</v>
      </c>
      <c r="Q409" s="115">
        <f t="shared" si="157"/>
        <v>0</v>
      </c>
    </row>
    <row r="410" spans="1:17" s="36" customFormat="1" x14ac:dyDescent="0.25">
      <c r="A410" s="111">
        <f t="shared" ref="A410:B425" si="159">A282</f>
        <v>1110</v>
      </c>
      <c r="B410" s="111" t="str">
        <f t="shared" si="159"/>
        <v>Humanities 10th</v>
      </c>
      <c r="D410" s="115">
        <f t="shared" si="154"/>
        <v>52000</v>
      </c>
      <c r="F410" s="115">
        <f t="shared" si="157"/>
        <v>0</v>
      </c>
      <c r="G410" s="115">
        <f t="shared" si="157"/>
        <v>0</v>
      </c>
      <c r="H410" s="115">
        <f t="shared" si="157"/>
        <v>0</v>
      </c>
      <c r="I410" s="115">
        <f t="shared" si="157"/>
        <v>0</v>
      </c>
      <c r="J410" s="115">
        <f t="shared" si="157"/>
        <v>0</v>
      </c>
      <c r="K410" s="115">
        <f t="shared" si="157"/>
        <v>0</v>
      </c>
      <c r="L410" s="115">
        <f t="shared" si="157"/>
        <v>0</v>
      </c>
      <c r="M410" s="115">
        <f t="shared" si="157"/>
        <v>0</v>
      </c>
      <c r="N410" s="115">
        <f t="shared" si="157"/>
        <v>0</v>
      </c>
      <c r="O410" s="115">
        <f t="shared" si="157"/>
        <v>0</v>
      </c>
      <c r="P410" s="115">
        <f t="shared" si="157"/>
        <v>0</v>
      </c>
      <c r="Q410" s="115">
        <f t="shared" si="157"/>
        <v>0</v>
      </c>
    </row>
    <row r="411" spans="1:17" s="36" customFormat="1" x14ac:dyDescent="0.25">
      <c r="A411" s="111">
        <f t="shared" si="159"/>
        <v>1110</v>
      </c>
      <c r="B411" s="111" t="str">
        <f t="shared" si="159"/>
        <v>Humanities 11th</v>
      </c>
      <c r="D411" s="115">
        <f t="shared" si="154"/>
        <v>52000</v>
      </c>
      <c r="F411" s="115">
        <f t="shared" si="157"/>
        <v>0</v>
      </c>
      <c r="G411" s="115">
        <f t="shared" si="157"/>
        <v>0</v>
      </c>
      <c r="H411" s="115">
        <f t="shared" si="157"/>
        <v>0</v>
      </c>
      <c r="I411" s="115">
        <f t="shared" si="157"/>
        <v>0</v>
      </c>
      <c r="J411" s="115">
        <f t="shared" si="157"/>
        <v>0</v>
      </c>
      <c r="K411" s="115">
        <f t="shared" si="157"/>
        <v>0</v>
      </c>
      <c r="L411" s="115">
        <f t="shared" si="157"/>
        <v>0</v>
      </c>
      <c r="M411" s="115">
        <f t="shared" si="157"/>
        <v>0</v>
      </c>
      <c r="N411" s="115">
        <f t="shared" si="157"/>
        <v>0</v>
      </c>
      <c r="O411" s="115">
        <f t="shared" si="157"/>
        <v>0</v>
      </c>
      <c r="P411" s="115">
        <f t="shared" si="157"/>
        <v>0</v>
      </c>
      <c r="Q411" s="115">
        <f t="shared" si="157"/>
        <v>0</v>
      </c>
    </row>
    <row r="412" spans="1:17" s="36" customFormat="1" x14ac:dyDescent="0.25">
      <c r="A412" s="111">
        <f t="shared" si="159"/>
        <v>1110</v>
      </c>
      <c r="B412" s="111" t="str">
        <f t="shared" si="159"/>
        <v>Humanities 12th</v>
      </c>
      <c r="D412" s="115">
        <f t="shared" si="154"/>
        <v>52000</v>
      </c>
      <c r="F412" s="115">
        <f t="shared" ref="F412:Q427" si="160">$D412*(1+E$5)*F284</f>
        <v>0</v>
      </c>
      <c r="G412" s="115">
        <f t="shared" si="160"/>
        <v>0</v>
      </c>
      <c r="H412" s="115">
        <f t="shared" si="160"/>
        <v>0</v>
      </c>
      <c r="I412" s="115">
        <f t="shared" si="160"/>
        <v>0</v>
      </c>
      <c r="J412" s="115">
        <f t="shared" si="160"/>
        <v>0</v>
      </c>
      <c r="K412" s="115">
        <f t="shared" si="160"/>
        <v>0</v>
      </c>
      <c r="L412" s="115">
        <f t="shared" si="160"/>
        <v>0</v>
      </c>
      <c r="M412" s="115">
        <f t="shared" si="160"/>
        <v>0</v>
      </c>
      <c r="N412" s="115">
        <f t="shared" si="160"/>
        <v>0</v>
      </c>
      <c r="O412" s="115">
        <f t="shared" si="160"/>
        <v>0</v>
      </c>
      <c r="P412" s="115">
        <f t="shared" si="160"/>
        <v>0</v>
      </c>
      <c r="Q412" s="115">
        <f t="shared" si="160"/>
        <v>0</v>
      </c>
    </row>
    <row r="413" spans="1:17" s="36" customFormat="1" x14ac:dyDescent="0.25">
      <c r="A413" s="111">
        <f t="shared" si="159"/>
        <v>1110</v>
      </c>
      <c r="B413" s="111" t="str">
        <f t="shared" si="159"/>
        <v>Foreign Language - Spanish</v>
      </c>
      <c r="D413" s="115">
        <f t="shared" si="154"/>
        <v>52000</v>
      </c>
      <c r="F413" s="115">
        <f t="shared" si="160"/>
        <v>0</v>
      </c>
      <c r="G413" s="115">
        <f t="shared" si="160"/>
        <v>0</v>
      </c>
      <c r="H413" s="115">
        <f t="shared" si="160"/>
        <v>0</v>
      </c>
      <c r="I413" s="115">
        <f t="shared" si="160"/>
        <v>0</v>
      </c>
      <c r="J413" s="115">
        <f t="shared" si="160"/>
        <v>0</v>
      </c>
      <c r="K413" s="115">
        <f t="shared" si="160"/>
        <v>0</v>
      </c>
      <c r="L413" s="115">
        <f t="shared" si="160"/>
        <v>0</v>
      </c>
      <c r="M413" s="115">
        <f t="shared" si="160"/>
        <v>0</v>
      </c>
      <c r="N413" s="115">
        <f t="shared" si="160"/>
        <v>0</v>
      </c>
      <c r="O413" s="115">
        <f t="shared" si="160"/>
        <v>0</v>
      </c>
      <c r="P413" s="115">
        <f t="shared" si="160"/>
        <v>0</v>
      </c>
      <c r="Q413" s="115">
        <f t="shared" si="160"/>
        <v>0</v>
      </c>
    </row>
    <row r="414" spans="1:17" s="36" customFormat="1" x14ac:dyDescent="0.25">
      <c r="A414" s="111">
        <f t="shared" si="159"/>
        <v>1110</v>
      </c>
      <c r="B414" s="111" t="str">
        <f t="shared" si="159"/>
        <v>Foreign Language - French</v>
      </c>
      <c r="D414" s="115">
        <f t="shared" si="154"/>
        <v>52000</v>
      </c>
      <c r="F414" s="115">
        <f t="shared" si="160"/>
        <v>0</v>
      </c>
      <c r="G414" s="115">
        <f t="shared" si="160"/>
        <v>0</v>
      </c>
      <c r="H414" s="115">
        <f t="shared" si="160"/>
        <v>0</v>
      </c>
      <c r="I414" s="115">
        <f t="shared" si="160"/>
        <v>0</v>
      </c>
      <c r="J414" s="115">
        <f t="shared" si="160"/>
        <v>0</v>
      </c>
      <c r="K414" s="115">
        <f t="shared" si="160"/>
        <v>0</v>
      </c>
      <c r="L414" s="115">
        <f t="shared" si="160"/>
        <v>0</v>
      </c>
      <c r="M414" s="115">
        <f t="shared" si="160"/>
        <v>0</v>
      </c>
      <c r="N414" s="115">
        <f t="shared" si="160"/>
        <v>0</v>
      </c>
      <c r="O414" s="115">
        <f t="shared" si="160"/>
        <v>0</v>
      </c>
      <c r="P414" s="115">
        <f t="shared" si="160"/>
        <v>0</v>
      </c>
      <c r="Q414" s="115">
        <f t="shared" si="160"/>
        <v>0</v>
      </c>
    </row>
    <row r="415" spans="1:17" s="36" customFormat="1" x14ac:dyDescent="0.25">
      <c r="A415" s="111">
        <f t="shared" si="159"/>
        <v>1110</v>
      </c>
      <c r="B415" s="111" t="str">
        <f t="shared" si="159"/>
        <v>HS Visual Performing Arts</v>
      </c>
      <c r="D415" s="115">
        <f t="shared" si="154"/>
        <v>52000</v>
      </c>
      <c r="F415" s="115">
        <f t="shared" si="160"/>
        <v>0</v>
      </c>
      <c r="G415" s="115">
        <f t="shared" si="160"/>
        <v>0</v>
      </c>
      <c r="H415" s="115">
        <f t="shared" si="160"/>
        <v>0</v>
      </c>
      <c r="I415" s="115">
        <f t="shared" si="160"/>
        <v>0</v>
      </c>
      <c r="J415" s="115">
        <f t="shared" si="160"/>
        <v>0</v>
      </c>
      <c r="K415" s="115">
        <f t="shared" si="160"/>
        <v>0</v>
      </c>
      <c r="L415" s="115">
        <f t="shared" si="160"/>
        <v>0</v>
      </c>
      <c r="M415" s="115">
        <f t="shared" si="160"/>
        <v>0</v>
      </c>
      <c r="N415" s="115">
        <f t="shared" si="160"/>
        <v>0</v>
      </c>
      <c r="O415" s="115">
        <f t="shared" si="160"/>
        <v>0</v>
      </c>
      <c r="P415" s="115">
        <f t="shared" si="160"/>
        <v>0</v>
      </c>
      <c r="Q415" s="115">
        <f t="shared" si="160"/>
        <v>0</v>
      </c>
    </row>
    <row r="416" spans="1:17" s="36" customFormat="1" x14ac:dyDescent="0.25">
      <c r="A416" s="111">
        <f t="shared" si="159"/>
        <v>1110</v>
      </c>
      <c r="B416" s="111" t="str">
        <f t="shared" si="159"/>
        <v>HS Visual Performing Arts</v>
      </c>
      <c r="D416" s="115">
        <f t="shared" si="154"/>
        <v>52000</v>
      </c>
      <c r="F416" s="115">
        <f t="shared" si="160"/>
        <v>0</v>
      </c>
      <c r="G416" s="115">
        <f t="shared" si="160"/>
        <v>0</v>
      </c>
      <c r="H416" s="115">
        <f t="shared" si="160"/>
        <v>0</v>
      </c>
      <c r="I416" s="115">
        <f t="shared" si="160"/>
        <v>0</v>
      </c>
      <c r="J416" s="115">
        <f t="shared" si="160"/>
        <v>0</v>
      </c>
      <c r="K416" s="115">
        <f t="shared" si="160"/>
        <v>0</v>
      </c>
      <c r="L416" s="115">
        <f t="shared" si="160"/>
        <v>0</v>
      </c>
      <c r="M416" s="115">
        <f t="shared" si="160"/>
        <v>0</v>
      </c>
      <c r="N416" s="115">
        <f t="shared" si="160"/>
        <v>0</v>
      </c>
      <c r="O416" s="115">
        <f t="shared" si="160"/>
        <v>0</v>
      </c>
      <c r="P416" s="115">
        <f t="shared" si="160"/>
        <v>0</v>
      </c>
      <c r="Q416" s="115">
        <f t="shared" si="160"/>
        <v>0</v>
      </c>
    </row>
    <row r="417" spans="1:17" s="36" customFormat="1" x14ac:dyDescent="0.25">
      <c r="A417" s="111">
        <f t="shared" si="159"/>
        <v>1110</v>
      </c>
      <c r="B417" s="111" t="str">
        <f t="shared" si="159"/>
        <v xml:space="preserve">HS PE </v>
      </c>
      <c r="D417" s="115">
        <f t="shared" si="154"/>
        <v>52000</v>
      </c>
      <c r="F417" s="115">
        <f t="shared" si="160"/>
        <v>0</v>
      </c>
      <c r="G417" s="115">
        <f t="shared" si="160"/>
        <v>0</v>
      </c>
      <c r="H417" s="115">
        <f t="shared" si="160"/>
        <v>0</v>
      </c>
      <c r="I417" s="115">
        <f t="shared" si="160"/>
        <v>0</v>
      </c>
      <c r="J417" s="115">
        <f t="shared" si="160"/>
        <v>0</v>
      </c>
      <c r="K417" s="115">
        <f t="shared" si="160"/>
        <v>0</v>
      </c>
      <c r="L417" s="115">
        <f t="shared" si="160"/>
        <v>0</v>
      </c>
      <c r="M417" s="115">
        <f t="shared" si="160"/>
        <v>0</v>
      </c>
      <c r="N417" s="115">
        <f t="shared" si="160"/>
        <v>0</v>
      </c>
      <c r="O417" s="115">
        <f t="shared" si="160"/>
        <v>0</v>
      </c>
      <c r="P417" s="115">
        <f t="shared" si="160"/>
        <v>0</v>
      </c>
      <c r="Q417" s="115">
        <f t="shared" si="160"/>
        <v>0</v>
      </c>
    </row>
    <row r="418" spans="1:17" s="36" customFormat="1" x14ac:dyDescent="0.25">
      <c r="A418" s="111">
        <f t="shared" si="159"/>
        <v>1110</v>
      </c>
      <c r="B418" s="111" t="str">
        <f t="shared" si="159"/>
        <v xml:space="preserve">HS PE </v>
      </c>
      <c r="D418" s="115">
        <f t="shared" si="154"/>
        <v>52000</v>
      </c>
      <c r="F418" s="115">
        <f t="shared" si="160"/>
        <v>0</v>
      </c>
      <c r="G418" s="115">
        <f t="shared" si="160"/>
        <v>0</v>
      </c>
      <c r="H418" s="115">
        <f t="shared" si="160"/>
        <v>0</v>
      </c>
      <c r="I418" s="115">
        <f t="shared" si="160"/>
        <v>0</v>
      </c>
      <c r="J418" s="115">
        <f t="shared" si="160"/>
        <v>0</v>
      </c>
      <c r="K418" s="115">
        <f t="shared" si="160"/>
        <v>0</v>
      </c>
      <c r="L418" s="115">
        <f t="shared" si="160"/>
        <v>0</v>
      </c>
      <c r="M418" s="115">
        <f t="shared" si="160"/>
        <v>0</v>
      </c>
      <c r="N418" s="115">
        <f t="shared" si="160"/>
        <v>0</v>
      </c>
      <c r="O418" s="115">
        <f t="shared" si="160"/>
        <v>0</v>
      </c>
      <c r="P418" s="115">
        <f t="shared" si="160"/>
        <v>0</v>
      </c>
      <c r="Q418" s="115">
        <f t="shared" si="160"/>
        <v>0</v>
      </c>
    </row>
    <row r="419" spans="1:17" s="36" customFormat="1" x14ac:dyDescent="0.25">
      <c r="A419" s="111">
        <f t="shared" si="159"/>
        <v>2300</v>
      </c>
      <c r="B419" s="111" t="str">
        <f t="shared" si="159"/>
        <v>High School Sport Director</v>
      </c>
      <c r="D419" s="115">
        <f t="shared" si="154"/>
        <v>52000</v>
      </c>
      <c r="F419" s="115">
        <f t="shared" si="160"/>
        <v>0</v>
      </c>
      <c r="G419" s="115">
        <f t="shared" si="160"/>
        <v>0</v>
      </c>
      <c r="H419" s="115">
        <f t="shared" si="160"/>
        <v>0</v>
      </c>
      <c r="I419" s="115">
        <f t="shared" si="160"/>
        <v>0</v>
      </c>
      <c r="J419" s="115">
        <f t="shared" si="160"/>
        <v>0</v>
      </c>
      <c r="K419" s="115">
        <f t="shared" si="160"/>
        <v>0</v>
      </c>
      <c r="L419" s="115">
        <f t="shared" si="160"/>
        <v>0</v>
      </c>
      <c r="M419" s="115">
        <f t="shared" si="160"/>
        <v>0</v>
      </c>
      <c r="N419" s="115">
        <f t="shared" si="160"/>
        <v>0</v>
      </c>
      <c r="O419" s="115">
        <f t="shared" si="160"/>
        <v>0</v>
      </c>
      <c r="P419" s="115">
        <f t="shared" si="160"/>
        <v>0</v>
      </c>
      <c r="Q419" s="115">
        <f t="shared" si="160"/>
        <v>0</v>
      </c>
    </row>
    <row r="420" spans="1:17" s="36" customFormat="1" x14ac:dyDescent="0.25">
      <c r="A420" s="111">
        <f t="shared" si="159"/>
        <v>2300</v>
      </c>
      <c r="B420" s="111" t="str">
        <f t="shared" si="159"/>
        <v>High School Sport Director</v>
      </c>
      <c r="D420" s="115">
        <f t="shared" si="154"/>
        <v>52000</v>
      </c>
      <c r="F420" s="115">
        <f t="shared" si="160"/>
        <v>0</v>
      </c>
      <c r="G420" s="115">
        <f t="shared" si="160"/>
        <v>0</v>
      </c>
      <c r="H420" s="115">
        <f t="shared" si="160"/>
        <v>0</v>
      </c>
      <c r="I420" s="115">
        <f t="shared" si="160"/>
        <v>0</v>
      </c>
      <c r="J420" s="115">
        <f t="shared" si="160"/>
        <v>0</v>
      </c>
      <c r="K420" s="115">
        <f t="shared" si="160"/>
        <v>0</v>
      </c>
      <c r="L420" s="115">
        <f t="shared" si="160"/>
        <v>0</v>
      </c>
      <c r="M420" s="115">
        <f t="shared" si="160"/>
        <v>0</v>
      </c>
      <c r="N420" s="115">
        <f t="shared" si="160"/>
        <v>0</v>
      </c>
      <c r="O420" s="115">
        <f t="shared" si="160"/>
        <v>0</v>
      </c>
      <c r="P420" s="115">
        <f t="shared" si="160"/>
        <v>0</v>
      </c>
      <c r="Q420" s="115">
        <f t="shared" si="160"/>
        <v>0</v>
      </c>
    </row>
    <row r="421" spans="1:17" s="36" customFormat="1" x14ac:dyDescent="0.25">
      <c r="A421" s="111">
        <f t="shared" si="159"/>
        <v>2900</v>
      </c>
      <c r="B421" s="111" t="str">
        <f t="shared" si="159"/>
        <v>After School Program Director - Elem</v>
      </c>
      <c r="D421" s="115">
        <f t="shared" si="154"/>
        <v>33000</v>
      </c>
      <c r="F421" s="115">
        <f t="shared" si="160"/>
        <v>0</v>
      </c>
      <c r="G421" s="115">
        <f t="shared" si="160"/>
        <v>0</v>
      </c>
      <c r="H421" s="115">
        <f t="shared" si="160"/>
        <v>0</v>
      </c>
      <c r="I421" s="115">
        <f t="shared" si="160"/>
        <v>0</v>
      </c>
      <c r="J421" s="115">
        <f t="shared" si="160"/>
        <v>0</v>
      </c>
      <c r="K421" s="115">
        <f t="shared" si="160"/>
        <v>0</v>
      </c>
      <c r="L421" s="115">
        <f t="shared" si="160"/>
        <v>0</v>
      </c>
      <c r="M421" s="115">
        <f t="shared" si="160"/>
        <v>0</v>
      </c>
      <c r="N421" s="115">
        <f t="shared" si="160"/>
        <v>0</v>
      </c>
      <c r="O421" s="115">
        <f t="shared" si="160"/>
        <v>0</v>
      </c>
      <c r="P421" s="115">
        <f t="shared" si="160"/>
        <v>0</v>
      </c>
      <c r="Q421" s="115">
        <f t="shared" si="160"/>
        <v>0</v>
      </c>
    </row>
    <row r="422" spans="1:17" s="36" customFormat="1" x14ac:dyDescent="0.25">
      <c r="A422" s="111">
        <f t="shared" si="159"/>
        <v>2900</v>
      </c>
      <c r="B422" s="111" t="str">
        <f t="shared" si="159"/>
        <v>After School Program Director - Middle</v>
      </c>
      <c r="D422" s="115">
        <f t="shared" si="154"/>
        <v>33000</v>
      </c>
      <c r="F422" s="115" t="e">
        <f t="shared" si="160"/>
        <v>#REF!</v>
      </c>
      <c r="G422" s="115" t="e">
        <f t="shared" si="160"/>
        <v>#REF!</v>
      </c>
      <c r="H422" s="115" t="e">
        <f t="shared" si="160"/>
        <v>#REF!</v>
      </c>
      <c r="I422" s="115" t="e">
        <f t="shared" si="160"/>
        <v>#REF!</v>
      </c>
      <c r="J422" s="115">
        <f t="shared" si="160"/>
        <v>0</v>
      </c>
      <c r="K422" s="115">
        <f t="shared" si="160"/>
        <v>0</v>
      </c>
      <c r="L422" s="115">
        <f t="shared" si="160"/>
        <v>0</v>
      </c>
      <c r="M422" s="115">
        <f t="shared" si="160"/>
        <v>0</v>
      </c>
      <c r="N422" s="115" t="e">
        <f t="shared" si="160"/>
        <v>#REF!</v>
      </c>
      <c r="O422" s="115" t="e">
        <f t="shared" si="160"/>
        <v>#REF!</v>
      </c>
      <c r="P422" s="115" t="e">
        <f t="shared" si="160"/>
        <v>#REF!</v>
      </c>
      <c r="Q422" s="115" t="e">
        <f t="shared" si="160"/>
        <v>#REF!</v>
      </c>
    </row>
    <row r="423" spans="1:17" s="36" customFormat="1" x14ac:dyDescent="0.25">
      <c r="A423" s="111">
        <f t="shared" si="159"/>
        <v>2900</v>
      </c>
      <c r="B423" s="111" t="str">
        <f t="shared" si="159"/>
        <v>After School Program Leader</v>
      </c>
      <c r="D423" s="115">
        <f t="shared" si="154"/>
        <v>8140</v>
      </c>
      <c r="F423" s="115">
        <f t="shared" si="160"/>
        <v>0</v>
      </c>
      <c r="G423" s="115">
        <f t="shared" si="160"/>
        <v>0</v>
      </c>
      <c r="H423" s="115">
        <f t="shared" si="160"/>
        <v>0</v>
      </c>
      <c r="I423" s="115">
        <f t="shared" si="160"/>
        <v>0</v>
      </c>
      <c r="J423" s="115">
        <f t="shared" si="160"/>
        <v>0</v>
      </c>
      <c r="K423" s="115">
        <f t="shared" si="160"/>
        <v>0</v>
      </c>
      <c r="L423" s="115">
        <f t="shared" si="160"/>
        <v>0</v>
      </c>
      <c r="M423" s="115">
        <f t="shared" si="160"/>
        <v>0</v>
      </c>
      <c r="N423" s="115">
        <f t="shared" si="160"/>
        <v>9279.6</v>
      </c>
      <c r="O423" s="115">
        <f t="shared" si="160"/>
        <v>9442.4</v>
      </c>
      <c r="P423" s="115">
        <f t="shared" si="160"/>
        <v>9605.1999999999989</v>
      </c>
      <c r="Q423" s="115">
        <f t="shared" si="160"/>
        <v>9768</v>
      </c>
    </row>
    <row r="424" spans="1:17" s="36" customFormat="1" x14ac:dyDescent="0.25">
      <c r="A424" s="111">
        <f t="shared" si="159"/>
        <v>2900</v>
      </c>
      <c r="B424" s="111" t="str">
        <f t="shared" si="159"/>
        <v>After School Program Leader</v>
      </c>
      <c r="D424" s="115">
        <f t="shared" si="154"/>
        <v>8140</v>
      </c>
      <c r="F424" s="115">
        <f t="shared" si="160"/>
        <v>0</v>
      </c>
      <c r="G424" s="115">
        <f t="shared" si="160"/>
        <v>0</v>
      </c>
      <c r="H424" s="115">
        <f t="shared" si="160"/>
        <v>0</v>
      </c>
      <c r="I424" s="115">
        <f t="shared" si="160"/>
        <v>0</v>
      </c>
      <c r="J424" s="115">
        <f t="shared" si="160"/>
        <v>0</v>
      </c>
      <c r="K424" s="115">
        <f t="shared" si="160"/>
        <v>0</v>
      </c>
      <c r="L424" s="115">
        <f t="shared" si="160"/>
        <v>0</v>
      </c>
      <c r="M424" s="115">
        <f t="shared" si="160"/>
        <v>0</v>
      </c>
      <c r="N424" s="115">
        <f t="shared" si="160"/>
        <v>9279.6</v>
      </c>
      <c r="O424" s="115">
        <f t="shared" si="160"/>
        <v>9442.4</v>
      </c>
      <c r="P424" s="115">
        <f t="shared" si="160"/>
        <v>9605.1999999999989</v>
      </c>
      <c r="Q424" s="115">
        <f t="shared" si="160"/>
        <v>9768</v>
      </c>
    </row>
    <row r="425" spans="1:17" s="36" customFormat="1" x14ac:dyDescent="0.25">
      <c r="A425" s="111">
        <f t="shared" si="159"/>
        <v>2900</v>
      </c>
      <c r="B425" s="111" t="str">
        <f t="shared" si="159"/>
        <v>After School Program Leader</v>
      </c>
      <c r="D425" s="115">
        <f t="shared" si="154"/>
        <v>8140</v>
      </c>
      <c r="F425" s="115">
        <f t="shared" si="160"/>
        <v>0</v>
      </c>
      <c r="G425" s="115">
        <f t="shared" si="160"/>
        <v>0</v>
      </c>
      <c r="H425" s="115">
        <f t="shared" si="160"/>
        <v>0</v>
      </c>
      <c r="I425" s="115">
        <f t="shared" si="160"/>
        <v>0</v>
      </c>
      <c r="J425" s="115">
        <f t="shared" si="160"/>
        <v>0</v>
      </c>
      <c r="K425" s="115">
        <f t="shared" si="160"/>
        <v>0</v>
      </c>
      <c r="L425" s="115">
        <f t="shared" si="160"/>
        <v>0</v>
      </c>
      <c r="M425" s="115">
        <f t="shared" si="160"/>
        <v>0</v>
      </c>
      <c r="N425" s="115">
        <f t="shared" si="160"/>
        <v>9279.6</v>
      </c>
      <c r="O425" s="115">
        <f t="shared" si="160"/>
        <v>9442.4</v>
      </c>
      <c r="P425" s="115">
        <f t="shared" si="160"/>
        <v>9605.1999999999989</v>
      </c>
      <c r="Q425" s="115">
        <f t="shared" si="160"/>
        <v>9768</v>
      </c>
    </row>
    <row r="426" spans="1:17" s="36" customFormat="1" x14ac:dyDescent="0.25">
      <c r="A426" s="111">
        <f t="shared" ref="A426:B431" si="161">A298</f>
        <v>2900</v>
      </c>
      <c r="B426" s="111" t="str">
        <f t="shared" si="161"/>
        <v>After School Program Leader</v>
      </c>
      <c r="D426" s="115">
        <f t="shared" si="154"/>
        <v>8140</v>
      </c>
      <c r="F426" s="115">
        <f t="shared" si="160"/>
        <v>0</v>
      </c>
      <c r="G426" s="115">
        <f t="shared" si="160"/>
        <v>0</v>
      </c>
      <c r="H426" s="115">
        <f t="shared" si="160"/>
        <v>0</v>
      </c>
      <c r="I426" s="115">
        <f t="shared" si="160"/>
        <v>0</v>
      </c>
      <c r="J426" s="115">
        <f t="shared" si="160"/>
        <v>0</v>
      </c>
      <c r="K426" s="115">
        <f t="shared" si="160"/>
        <v>0</v>
      </c>
      <c r="L426" s="115">
        <f t="shared" si="160"/>
        <v>0</v>
      </c>
      <c r="M426" s="115">
        <f t="shared" si="160"/>
        <v>0</v>
      </c>
      <c r="N426" s="115">
        <f t="shared" si="160"/>
        <v>0</v>
      </c>
      <c r="O426" s="115">
        <f t="shared" si="160"/>
        <v>9442.4</v>
      </c>
      <c r="P426" s="115">
        <f t="shared" si="160"/>
        <v>9605.1999999999989</v>
      </c>
      <c r="Q426" s="115">
        <f t="shared" si="160"/>
        <v>9768</v>
      </c>
    </row>
    <row r="427" spans="1:17" s="36" customFormat="1" x14ac:dyDescent="0.25">
      <c r="A427" s="111">
        <f t="shared" si="161"/>
        <v>2900</v>
      </c>
      <c r="B427" s="111" t="str">
        <f t="shared" si="161"/>
        <v>After School Program Leader</v>
      </c>
      <c r="D427" s="115">
        <f t="shared" si="154"/>
        <v>8140</v>
      </c>
      <c r="F427" s="115">
        <f t="shared" si="160"/>
        <v>0</v>
      </c>
      <c r="G427" s="115">
        <f t="shared" si="160"/>
        <v>0</v>
      </c>
      <c r="H427" s="115">
        <f t="shared" si="160"/>
        <v>0</v>
      </c>
      <c r="I427" s="115">
        <f t="shared" si="160"/>
        <v>0</v>
      </c>
      <c r="J427" s="115">
        <f t="shared" si="160"/>
        <v>0</v>
      </c>
      <c r="K427" s="115">
        <f t="shared" si="160"/>
        <v>0</v>
      </c>
      <c r="L427" s="115">
        <f t="shared" si="160"/>
        <v>0</v>
      </c>
      <c r="M427" s="115">
        <f t="shared" si="160"/>
        <v>0</v>
      </c>
      <c r="N427" s="115">
        <f t="shared" si="160"/>
        <v>0</v>
      </c>
      <c r="O427" s="115">
        <f t="shared" si="160"/>
        <v>9442.4</v>
      </c>
      <c r="P427" s="115">
        <f t="shared" si="160"/>
        <v>9605.1999999999989</v>
      </c>
      <c r="Q427" s="115">
        <f t="shared" si="160"/>
        <v>9768</v>
      </c>
    </row>
    <row r="428" spans="1:17" s="36" customFormat="1" x14ac:dyDescent="0.25">
      <c r="A428" s="111">
        <f t="shared" si="161"/>
        <v>2900</v>
      </c>
      <c r="B428" s="111" t="str">
        <f t="shared" si="161"/>
        <v>After School Program Leader</v>
      </c>
      <c r="D428" s="115">
        <f t="shared" si="154"/>
        <v>8140</v>
      </c>
      <c r="F428" s="115">
        <f t="shared" ref="F428:Q440" si="162">$D428*(1+E$5)*F300</f>
        <v>0</v>
      </c>
      <c r="G428" s="115">
        <f t="shared" si="162"/>
        <v>0</v>
      </c>
      <c r="H428" s="115">
        <f t="shared" si="162"/>
        <v>0</v>
      </c>
      <c r="I428" s="115">
        <f t="shared" si="162"/>
        <v>0</v>
      </c>
      <c r="J428" s="115">
        <f t="shared" si="162"/>
        <v>0</v>
      </c>
      <c r="K428" s="115">
        <f t="shared" si="162"/>
        <v>0</v>
      </c>
      <c r="L428" s="115">
        <f t="shared" si="162"/>
        <v>0</v>
      </c>
      <c r="M428" s="115">
        <f t="shared" si="162"/>
        <v>0</v>
      </c>
      <c r="N428" s="115">
        <f t="shared" si="162"/>
        <v>0</v>
      </c>
      <c r="O428" s="115">
        <f t="shared" si="162"/>
        <v>0</v>
      </c>
      <c r="P428" s="115">
        <f t="shared" si="162"/>
        <v>9605.1999999999989</v>
      </c>
      <c r="Q428" s="115">
        <f t="shared" si="162"/>
        <v>9768</v>
      </c>
    </row>
    <row r="429" spans="1:17" s="36" customFormat="1" x14ac:dyDescent="0.25">
      <c r="A429" s="111">
        <f t="shared" si="161"/>
        <v>2900</v>
      </c>
      <c r="B429" s="111" t="str">
        <f t="shared" si="161"/>
        <v>After School Program Leader</v>
      </c>
      <c r="D429" s="115">
        <f t="shared" si="154"/>
        <v>8140</v>
      </c>
      <c r="F429" s="115">
        <f t="shared" si="162"/>
        <v>0</v>
      </c>
      <c r="G429" s="115">
        <f t="shared" si="162"/>
        <v>0</v>
      </c>
      <c r="H429" s="115">
        <f t="shared" si="162"/>
        <v>0</v>
      </c>
      <c r="I429" s="115">
        <f t="shared" si="162"/>
        <v>0</v>
      </c>
      <c r="J429" s="115">
        <f t="shared" si="162"/>
        <v>0</v>
      </c>
      <c r="K429" s="115">
        <f t="shared" si="162"/>
        <v>0</v>
      </c>
      <c r="L429" s="115">
        <f t="shared" si="162"/>
        <v>0</v>
      </c>
      <c r="M429" s="115">
        <f t="shared" si="162"/>
        <v>0</v>
      </c>
      <c r="N429" s="115">
        <f t="shared" si="162"/>
        <v>0</v>
      </c>
      <c r="O429" s="115">
        <f t="shared" si="162"/>
        <v>0</v>
      </c>
      <c r="P429" s="115">
        <f t="shared" si="162"/>
        <v>9605.1999999999989</v>
      </c>
      <c r="Q429" s="115">
        <f t="shared" si="162"/>
        <v>9768</v>
      </c>
    </row>
    <row r="430" spans="1:17" s="36" customFormat="1" x14ac:dyDescent="0.25">
      <c r="A430" s="111">
        <f t="shared" si="161"/>
        <v>2900</v>
      </c>
      <c r="B430" s="111" t="str">
        <f t="shared" si="161"/>
        <v>After School Program Leader</v>
      </c>
      <c r="D430" s="115">
        <f t="shared" si="154"/>
        <v>8140</v>
      </c>
      <c r="F430" s="115">
        <f t="shared" si="162"/>
        <v>0</v>
      </c>
      <c r="G430" s="115">
        <f t="shared" si="162"/>
        <v>0</v>
      </c>
      <c r="H430" s="115">
        <f t="shared" si="162"/>
        <v>0</v>
      </c>
      <c r="I430" s="115">
        <f t="shared" si="162"/>
        <v>0</v>
      </c>
      <c r="J430" s="115">
        <f t="shared" si="162"/>
        <v>0</v>
      </c>
      <c r="K430" s="115">
        <f t="shared" si="162"/>
        <v>0</v>
      </c>
      <c r="L430" s="115">
        <f t="shared" si="162"/>
        <v>0</v>
      </c>
      <c r="M430" s="115">
        <f t="shared" si="162"/>
        <v>0</v>
      </c>
      <c r="N430" s="115">
        <f t="shared" si="162"/>
        <v>0</v>
      </c>
      <c r="O430" s="115">
        <f t="shared" si="162"/>
        <v>0</v>
      </c>
      <c r="P430" s="115">
        <f t="shared" si="162"/>
        <v>0</v>
      </c>
      <c r="Q430" s="115">
        <f t="shared" si="162"/>
        <v>9768</v>
      </c>
    </row>
    <row r="431" spans="1:17" s="36" customFormat="1" x14ac:dyDescent="0.25">
      <c r="A431" s="111">
        <f>A303</f>
        <v>2900</v>
      </c>
      <c r="B431" s="111" t="str">
        <f t="shared" si="161"/>
        <v>After School Program Leader</v>
      </c>
      <c r="D431" s="115">
        <f t="shared" si="154"/>
        <v>8140</v>
      </c>
      <c r="F431" s="115">
        <f t="shared" si="162"/>
        <v>0</v>
      </c>
      <c r="G431" s="115">
        <f t="shared" si="162"/>
        <v>0</v>
      </c>
      <c r="H431" s="115">
        <f t="shared" si="162"/>
        <v>0</v>
      </c>
      <c r="I431" s="115">
        <f t="shared" si="162"/>
        <v>0</v>
      </c>
      <c r="J431" s="115">
        <f t="shared" si="162"/>
        <v>0</v>
      </c>
      <c r="K431" s="115">
        <f t="shared" si="162"/>
        <v>0</v>
      </c>
      <c r="L431" s="115">
        <f t="shared" si="162"/>
        <v>0</v>
      </c>
      <c r="M431" s="115">
        <f t="shared" si="162"/>
        <v>0</v>
      </c>
      <c r="N431" s="115">
        <f t="shared" si="162"/>
        <v>0</v>
      </c>
      <c r="O431" s="115">
        <f t="shared" si="162"/>
        <v>0</v>
      </c>
      <c r="P431" s="115">
        <f t="shared" si="162"/>
        <v>0</v>
      </c>
      <c r="Q431" s="115">
        <f t="shared" si="162"/>
        <v>9768</v>
      </c>
    </row>
    <row r="432" spans="1:17" s="36" customFormat="1" x14ac:dyDescent="0.25">
      <c r="A432" s="111">
        <f t="shared" ref="A432:B440" si="163">A304</f>
        <v>2900</v>
      </c>
      <c r="B432" s="111" t="str">
        <f t="shared" si="163"/>
        <v>After School Program Leader</v>
      </c>
      <c r="D432" s="115">
        <f t="shared" si="154"/>
        <v>8140</v>
      </c>
      <c r="F432" s="115">
        <f t="shared" si="162"/>
        <v>0</v>
      </c>
      <c r="G432" s="115">
        <f t="shared" si="162"/>
        <v>0</v>
      </c>
      <c r="H432" s="115">
        <f t="shared" si="162"/>
        <v>0</v>
      </c>
      <c r="I432" s="115">
        <f t="shared" si="162"/>
        <v>0</v>
      </c>
      <c r="J432" s="115">
        <f t="shared" si="162"/>
        <v>0</v>
      </c>
      <c r="K432" s="115">
        <f t="shared" si="162"/>
        <v>0</v>
      </c>
      <c r="L432" s="115">
        <f t="shared" si="162"/>
        <v>0</v>
      </c>
      <c r="M432" s="115">
        <f t="shared" si="162"/>
        <v>0</v>
      </c>
      <c r="N432" s="115">
        <f t="shared" si="162"/>
        <v>0</v>
      </c>
      <c r="O432" s="115">
        <f t="shared" si="162"/>
        <v>0</v>
      </c>
      <c r="P432" s="115">
        <f t="shared" si="162"/>
        <v>0</v>
      </c>
      <c r="Q432" s="115">
        <f t="shared" si="162"/>
        <v>0</v>
      </c>
    </row>
    <row r="433" spans="1:17" s="36" customFormat="1" x14ac:dyDescent="0.25">
      <c r="A433" s="111">
        <f t="shared" si="163"/>
        <v>2900</v>
      </c>
      <c r="B433" s="111" t="str">
        <f t="shared" si="163"/>
        <v>After School Program Leader</v>
      </c>
      <c r="D433" s="115">
        <f t="shared" si="154"/>
        <v>8140</v>
      </c>
      <c r="F433" s="115">
        <f t="shared" si="162"/>
        <v>0</v>
      </c>
      <c r="G433" s="115">
        <f t="shared" si="162"/>
        <v>0</v>
      </c>
      <c r="H433" s="115">
        <f t="shared" si="162"/>
        <v>0</v>
      </c>
      <c r="I433" s="115">
        <f t="shared" si="162"/>
        <v>0</v>
      </c>
      <c r="J433" s="115">
        <f t="shared" si="162"/>
        <v>0</v>
      </c>
      <c r="K433" s="115">
        <f t="shared" si="162"/>
        <v>0</v>
      </c>
      <c r="L433" s="115">
        <f t="shared" si="162"/>
        <v>0</v>
      </c>
      <c r="M433" s="115">
        <f t="shared" si="162"/>
        <v>0</v>
      </c>
      <c r="N433" s="115">
        <f t="shared" si="162"/>
        <v>0</v>
      </c>
      <c r="O433" s="115">
        <f t="shared" si="162"/>
        <v>0</v>
      </c>
      <c r="P433" s="115">
        <f t="shared" si="162"/>
        <v>0</v>
      </c>
      <c r="Q433" s="115">
        <f t="shared" si="162"/>
        <v>0</v>
      </c>
    </row>
    <row r="434" spans="1:17" s="36" customFormat="1" x14ac:dyDescent="0.25">
      <c r="A434" s="111">
        <f t="shared" si="163"/>
        <v>2900</v>
      </c>
      <c r="B434" s="111" t="str">
        <f t="shared" si="163"/>
        <v>After School Program Leader</v>
      </c>
      <c r="D434" s="115">
        <f t="shared" si="154"/>
        <v>8140</v>
      </c>
      <c r="F434" s="115">
        <f t="shared" si="162"/>
        <v>0</v>
      </c>
      <c r="G434" s="115">
        <f t="shared" si="162"/>
        <v>0</v>
      </c>
      <c r="H434" s="115">
        <f t="shared" si="162"/>
        <v>0</v>
      </c>
      <c r="I434" s="115">
        <f t="shared" si="162"/>
        <v>0</v>
      </c>
      <c r="J434" s="115">
        <f t="shared" si="162"/>
        <v>0</v>
      </c>
      <c r="K434" s="115">
        <f t="shared" si="162"/>
        <v>0</v>
      </c>
      <c r="L434" s="115">
        <f t="shared" si="162"/>
        <v>0</v>
      </c>
      <c r="M434" s="115">
        <f t="shared" si="162"/>
        <v>0</v>
      </c>
      <c r="N434" s="115">
        <f t="shared" si="162"/>
        <v>0</v>
      </c>
      <c r="O434" s="115">
        <f t="shared" si="162"/>
        <v>0</v>
      </c>
      <c r="P434" s="115">
        <f t="shared" si="162"/>
        <v>0</v>
      </c>
      <c r="Q434" s="115">
        <f t="shared" si="162"/>
        <v>0</v>
      </c>
    </row>
    <row r="435" spans="1:17" s="36" customFormat="1" x14ac:dyDescent="0.25">
      <c r="A435" s="111">
        <f t="shared" si="163"/>
        <v>2900</v>
      </c>
      <c r="B435" s="111" t="str">
        <f t="shared" si="163"/>
        <v>After School Program Leader</v>
      </c>
      <c r="D435" s="115">
        <f t="shared" si="154"/>
        <v>8140</v>
      </c>
      <c r="F435" s="115">
        <f t="shared" si="162"/>
        <v>0</v>
      </c>
      <c r="G435" s="115">
        <f t="shared" si="162"/>
        <v>0</v>
      </c>
      <c r="H435" s="115">
        <f t="shared" si="162"/>
        <v>0</v>
      </c>
      <c r="I435" s="115">
        <f t="shared" si="162"/>
        <v>0</v>
      </c>
      <c r="J435" s="115">
        <f t="shared" si="162"/>
        <v>0</v>
      </c>
      <c r="K435" s="115">
        <f t="shared" si="162"/>
        <v>0</v>
      </c>
      <c r="L435" s="115">
        <f t="shared" si="162"/>
        <v>0</v>
      </c>
      <c r="M435" s="115">
        <f t="shared" si="162"/>
        <v>0</v>
      </c>
      <c r="N435" s="115">
        <f t="shared" si="162"/>
        <v>0</v>
      </c>
      <c r="O435" s="115">
        <f t="shared" si="162"/>
        <v>0</v>
      </c>
      <c r="P435" s="115">
        <f t="shared" si="162"/>
        <v>0</v>
      </c>
      <c r="Q435" s="115">
        <f t="shared" si="162"/>
        <v>0</v>
      </c>
    </row>
    <row r="436" spans="1:17" s="36" customFormat="1" x14ac:dyDescent="0.25">
      <c r="A436" s="111">
        <f t="shared" si="163"/>
        <v>2900</v>
      </c>
      <c r="B436" s="111" t="str">
        <f t="shared" si="163"/>
        <v>After School Program Leader</v>
      </c>
      <c r="D436" s="115">
        <f t="shared" si="154"/>
        <v>8140</v>
      </c>
      <c r="F436" s="115">
        <f t="shared" si="162"/>
        <v>0</v>
      </c>
      <c r="G436" s="115">
        <f t="shared" si="162"/>
        <v>0</v>
      </c>
      <c r="H436" s="115">
        <f t="shared" si="162"/>
        <v>0</v>
      </c>
      <c r="I436" s="115">
        <f t="shared" si="162"/>
        <v>0</v>
      </c>
      <c r="J436" s="115">
        <f t="shared" si="162"/>
        <v>0</v>
      </c>
      <c r="K436" s="115">
        <f t="shared" si="162"/>
        <v>0</v>
      </c>
      <c r="L436" s="115">
        <f t="shared" si="162"/>
        <v>0</v>
      </c>
      <c r="M436" s="115">
        <f t="shared" si="162"/>
        <v>0</v>
      </c>
      <c r="N436" s="115">
        <f t="shared" si="162"/>
        <v>0</v>
      </c>
      <c r="O436" s="115">
        <f t="shared" si="162"/>
        <v>0</v>
      </c>
      <c r="P436" s="115">
        <f t="shared" si="162"/>
        <v>0</v>
      </c>
      <c r="Q436" s="115">
        <f t="shared" si="162"/>
        <v>0</v>
      </c>
    </row>
    <row r="437" spans="1:17" s="36" customFormat="1" x14ac:dyDescent="0.25">
      <c r="A437" s="111">
        <f t="shared" si="163"/>
        <v>2900</v>
      </c>
      <c r="B437" s="111" t="str">
        <f t="shared" si="163"/>
        <v>After School Program Leader</v>
      </c>
      <c r="D437" s="115">
        <f t="shared" si="154"/>
        <v>8140</v>
      </c>
      <c r="F437" s="115">
        <f t="shared" si="162"/>
        <v>0</v>
      </c>
      <c r="G437" s="115">
        <f t="shared" si="162"/>
        <v>0</v>
      </c>
      <c r="H437" s="115">
        <f t="shared" si="162"/>
        <v>0</v>
      </c>
      <c r="I437" s="115">
        <f t="shared" si="162"/>
        <v>0</v>
      </c>
      <c r="J437" s="115">
        <f t="shared" si="162"/>
        <v>0</v>
      </c>
      <c r="K437" s="115">
        <f t="shared" si="162"/>
        <v>0</v>
      </c>
      <c r="L437" s="115">
        <f t="shared" si="162"/>
        <v>0</v>
      </c>
      <c r="M437" s="115">
        <f t="shared" si="162"/>
        <v>0</v>
      </c>
      <c r="N437" s="115">
        <f t="shared" si="162"/>
        <v>0</v>
      </c>
      <c r="O437" s="115">
        <f t="shared" si="162"/>
        <v>0</v>
      </c>
      <c r="P437" s="115">
        <f t="shared" si="162"/>
        <v>0</v>
      </c>
      <c r="Q437" s="115">
        <f t="shared" si="162"/>
        <v>0</v>
      </c>
    </row>
    <row r="438" spans="1:17" s="36" customFormat="1" x14ac:dyDescent="0.25">
      <c r="A438" s="111">
        <f t="shared" si="163"/>
        <v>2900</v>
      </c>
      <c r="B438" s="111" t="str">
        <f t="shared" si="163"/>
        <v>After School Program Leader</v>
      </c>
      <c r="D438" s="115">
        <f t="shared" si="154"/>
        <v>8140</v>
      </c>
      <c r="F438" s="115">
        <f t="shared" si="162"/>
        <v>0</v>
      </c>
      <c r="G438" s="115">
        <f t="shared" si="162"/>
        <v>0</v>
      </c>
      <c r="H438" s="115">
        <f t="shared" si="162"/>
        <v>0</v>
      </c>
      <c r="I438" s="115">
        <f t="shared" si="162"/>
        <v>0</v>
      </c>
      <c r="J438" s="115">
        <f t="shared" si="162"/>
        <v>0</v>
      </c>
      <c r="K438" s="115">
        <f t="shared" si="162"/>
        <v>0</v>
      </c>
      <c r="L438" s="115">
        <f t="shared" si="162"/>
        <v>0</v>
      </c>
      <c r="M438" s="115">
        <f t="shared" si="162"/>
        <v>0</v>
      </c>
      <c r="N438" s="115">
        <f t="shared" si="162"/>
        <v>0</v>
      </c>
      <c r="O438" s="115">
        <f t="shared" si="162"/>
        <v>0</v>
      </c>
      <c r="P438" s="115">
        <f t="shared" si="162"/>
        <v>0</v>
      </c>
      <c r="Q438" s="115">
        <f t="shared" si="162"/>
        <v>0</v>
      </c>
    </row>
    <row r="439" spans="1:17" s="36" customFormat="1" x14ac:dyDescent="0.25">
      <c r="A439" s="111">
        <f t="shared" si="163"/>
        <v>2900</v>
      </c>
      <c r="B439" s="111" t="str">
        <f t="shared" si="163"/>
        <v>After School Program Leader</v>
      </c>
      <c r="D439" s="115">
        <f t="shared" si="154"/>
        <v>8140</v>
      </c>
      <c r="F439" s="115">
        <f t="shared" si="162"/>
        <v>0</v>
      </c>
      <c r="G439" s="115">
        <f t="shared" si="162"/>
        <v>0</v>
      </c>
      <c r="H439" s="115">
        <f t="shared" si="162"/>
        <v>0</v>
      </c>
      <c r="I439" s="115">
        <f t="shared" si="162"/>
        <v>0</v>
      </c>
      <c r="J439" s="115">
        <f t="shared" si="162"/>
        <v>0</v>
      </c>
      <c r="K439" s="115">
        <f t="shared" si="162"/>
        <v>0</v>
      </c>
      <c r="L439" s="115">
        <f t="shared" si="162"/>
        <v>0</v>
      </c>
      <c r="M439" s="115">
        <f t="shared" si="162"/>
        <v>0</v>
      </c>
      <c r="N439" s="115">
        <f t="shared" si="162"/>
        <v>0</v>
      </c>
      <c r="O439" s="115">
        <f t="shared" si="162"/>
        <v>0</v>
      </c>
      <c r="P439" s="115">
        <f t="shared" si="162"/>
        <v>0</v>
      </c>
      <c r="Q439" s="115">
        <f t="shared" si="162"/>
        <v>0</v>
      </c>
    </row>
    <row r="440" spans="1:17" s="36" customFormat="1" x14ac:dyDescent="0.25">
      <c r="A440" s="111">
        <f t="shared" si="163"/>
        <v>2900</v>
      </c>
      <c r="B440" s="111" t="str">
        <f t="shared" si="163"/>
        <v>After School Program Leader</v>
      </c>
      <c r="D440" s="115">
        <f t="shared" si="154"/>
        <v>8140</v>
      </c>
      <c r="F440" s="116">
        <f t="shared" si="162"/>
        <v>0</v>
      </c>
      <c r="G440" s="116">
        <f t="shared" si="162"/>
        <v>0</v>
      </c>
      <c r="H440" s="116">
        <f t="shared" si="162"/>
        <v>0</v>
      </c>
      <c r="I440" s="116">
        <f t="shared" si="162"/>
        <v>0</v>
      </c>
      <c r="J440" s="116">
        <f t="shared" si="162"/>
        <v>0</v>
      </c>
      <c r="K440" s="116">
        <f t="shared" si="162"/>
        <v>0</v>
      </c>
      <c r="L440" s="116">
        <f t="shared" si="162"/>
        <v>0</v>
      </c>
      <c r="M440" s="116">
        <f t="shared" si="162"/>
        <v>0</v>
      </c>
      <c r="N440" s="116">
        <f t="shared" si="162"/>
        <v>0</v>
      </c>
      <c r="O440" s="116">
        <f t="shared" si="162"/>
        <v>0</v>
      </c>
      <c r="P440" s="116">
        <f t="shared" si="162"/>
        <v>0</v>
      </c>
      <c r="Q440" s="116">
        <f t="shared" si="162"/>
        <v>0</v>
      </c>
    </row>
    <row r="441" spans="1:17" x14ac:dyDescent="0.25">
      <c r="A441"/>
      <c r="E441"/>
      <c r="F441" s="48" t="e">
        <f>SUM(F316:F440)</f>
        <v>#REF!</v>
      </c>
      <c r="G441" s="48" t="e">
        <f t="shared" ref="G441:Q441" si="164">SUM(G316:G440)</f>
        <v>#REF!</v>
      </c>
      <c r="H441" s="48" t="e">
        <f t="shared" si="164"/>
        <v>#REF!</v>
      </c>
      <c r="I441" s="48" t="e">
        <f t="shared" si="164"/>
        <v>#REF!</v>
      </c>
      <c r="J441" s="48" t="e">
        <f t="shared" si="164"/>
        <v>#REF!</v>
      </c>
      <c r="K441" s="48" t="e">
        <f t="shared" si="164"/>
        <v>#REF!</v>
      </c>
      <c r="L441" s="48" t="e">
        <f t="shared" si="164"/>
        <v>#REF!</v>
      </c>
      <c r="M441" s="48" t="e">
        <f t="shared" si="164"/>
        <v>#REF!</v>
      </c>
      <c r="N441" s="48" t="e">
        <f t="shared" si="164"/>
        <v>#REF!</v>
      </c>
      <c r="O441" s="48" t="e">
        <f t="shared" si="164"/>
        <v>#REF!</v>
      </c>
      <c r="P441" s="48" t="e">
        <f t="shared" si="164"/>
        <v>#REF!</v>
      </c>
      <c r="Q441" s="48" t="e">
        <f t="shared" si="164"/>
        <v>#REF!</v>
      </c>
    </row>
    <row r="442" spans="1:17" x14ac:dyDescent="0.25">
      <c r="A442"/>
      <c r="E442"/>
      <c r="J442" s="48" t="e">
        <f>J441-J60-J66</f>
        <v>#REF!</v>
      </c>
      <c r="K442" s="48" t="e">
        <f>K441-K60-K66</f>
        <v>#REF!</v>
      </c>
      <c r="N442" s="48" t="e">
        <f>N441-N66-N60</f>
        <v>#REF!</v>
      </c>
      <c r="O442" s="48" t="e">
        <f>O441-O66-O60</f>
        <v>#REF!</v>
      </c>
      <c r="P442" s="48" t="e">
        <f>P441-P66-P60</f>
        <v>#REF!</v>
      </c>
      <c r="Q442" s="48" t="e">
        <f>Q441-Q66-Q60</f>
        <v>#REF!</v>
      </c>
    </row>
    <row r="443" spans="1:17" x14ac:dyDescent="0.25">
      <c r="A443"/>
      <c r="E443"/>
    </row>
    <row r="444" spans="1:17" x14ac:dyDescent="0.25">
      <c r="A444"/>
      <c r="E444"/>
    </row>
    <row r="445" spans="1:17" x14ac:dyDescent="0.25">
      <c r="A445"/>
      <c r="E445"/>
    </row>
    <row r="446" spans="1:17" x14ac:dyDescent="0.25">
      <c r="A446"/>
      <c r="E446"/>
    </row>
    <row r="447" spans="1:17" x14ac:dyDescent="0.25">
      <c r="A447"/>
      <c r="E447"/>
    </row>
    <row r="448" spans="1:17" x14ac:dyDescent="0.25">
      <c r="A448"/>
      <c r="E448"/>
    </row>
    <row r="449" spans="1:5" x14ac:dyDescent="0.25">
      <c r="A449"/>
      <c r="E449"/>
    </row>
    <row r="450" spans="1:5" x14ac:dyDescent="0.25">
      <c r="A450"/>
      <c r="E450"/>
    </row>
    <row r="451" spans="1:5" x14ac:dyDescent="0.25">
      <c r="A451"/>
      <c r="E451"/>
    </row>
    <row r="452" spans="1:5" x14ac:dyDescent="0.25">
      <c r="A452"/>
      <c r="E452"/>
    </row>
    <row r="453" spans="1:5" x14ac:dyDescent="0.25">
      <c r="A453"/>
      <c r="E453"/>
    </row>
    <row r="454" spans="1:5" x14ac:dyDescent="0.25">
      <c r="A454"/>
      <c r="E454"/>
    </row>
    <row r="455" spans="1:5" x14ac:dyDescent="0.25">
      <c r="A455"/>
      <c r="E455"/>
    </row>
    <row r="456" spans="1:5" x14ac:dyDescent="0.25">
      <c r="A456"/>
      <c r="E456"/>
    </row>
    <row r="457" spans="1:5" x14ac:dyDescent="0.25">
      <c r="A457"/>
      <c r="E457"/>
    </row>
    <row r="458" spans="1:5" x14ac:dyDescent="0.25">
      <c r="A458"/>
      <c r="E458"/>
    </row>
    <row r="459" spans="1:5" x14ac:dyDescent="0.25">
      <c r="A459"/>
      <c r="E459"/>
    </row>
    <row r="460" spans="1:5" x14ac:dyDescent="0.25">
      <c r="A460"/>
      <c r="E460"/>
    </row>
    <row r="461" spans="1:5" x14ac:dyDescent="0.25">
      <c r="A461"/>
      <c r="E461"/>
    </row>
    <row r="462" spans="1:5" s="36" customFormat="1" x14ac:dyDescent="0.25">
      <c r="A462" s="111"/>
    </row>
    <row r="463" spans="1:5" s="36" customFormat="1" x14ac:dyDescent="0.25">
      <c r="A463" s="111"/>
    </row>
    <row r="464" spans="1:5" s="36" customFormat="1" x14ac:dyDescent="0.25">
      <c r="A464" s="111"/>
    </row>
    <row r="465" spans="1:1" s="36" customFormat="1" x14ac:dyDescent="0.25">
      <c r="A465" s="111"/>
    </row>
    <row r="466" spans="1:1" s="36" customFormat="1" x14ac:dyDescent="0.25">
      <c r="A466" s="111"/>
    </row>
    <row r="467" spans="1:1" s="36" customFormat="1" x14ac:dyDescent="0.25">
      <c r="A467" s="111"/>
    </row>
    <row r="468" spans="1:1" s="36" customFormat="1" x14ac:dyDescent="0.25">
      <c r="A468" s="111"/>
    </row>
    <row r="469" spans="1:1" s="36" customFormat="1" x14ac:dyDescent="0.25">
      <c r="A469" s="111"/>
    </row>
    <row r="470" spans="1:1" s="36" customFormat="1" x14ac:dyDescent="0.25">
      <c r="A470" s="111"/>
    </row>
    <row r="471" spans="1:1" s="36" customFormat="1" x14ac:dyDescent="0.25">
      <c r="A471" s="111"/>
    </row>
    <row r="472" spans="1:1" s="36" customFormat="1" x14ac:dyDescent="0.25">
      <c r="A472" s="111"/>
    </row>
    <row r="473" spans="1:1" s="36" customFormat="1" x14ac:dyDescent="0.25">
      <c r="A473" s="111"/>
    </row>
    <row r="474" spans="1:1" s="36" customFormat="1" x14ac:dyDescent="0.25">
      <c r="A474" s="111"/>
    </row>
    <row r="475" spans="1:1" s="36" customFormat="1" x14ac:dyDescent="0.25">
      <c r="A475" s="111"/>
    </row>
    <row r="476" spans="1:1" s="36" customFormat="1" x14ac:dyDescent="0.25">
      <c r="A476" s="111"/>
    </row>
    <row r="477" spans="1:1" s="36" customFormat="1" x14ac:dyDescent="0.25">
      <c r="A477" s="111"/>
    </row>
    <row r="478" spans="1:1" s="36" customFormat="1" x14ac:dyDescent="0.25">
      <c r="A478" s="111"/>
    </row>
    <row r="479" spans="1:1" s="36" customFormat="1" x14ac:dyDescent="0.25">
      <c r="A479" s="111"/>
    </row>
    <row r="480" spans="1:1" s="36" customFormat="1" x14ac:dyDescent="0.25">
      <c r="A480" s="111"/>
    </row>
    <row r="481" spans="1:1" s="36" customFormat="1" x14ac:dyDescent="0.25">
      <c r="A481" s="111"/>
    </row>
    <row r="482" spans="1:1" s="36" customFormat="1" x14ac:dyDescent="0.25">
      <c r="A482" s="111"/>
    </row>
    <row r="483" spans="1:1" s="36" customFormat="1" x14ac:dyDescent="0.25">
      <c r="A483" s="111"/>
    </row>
    <row r="484" spans="1:1" s="36" customFormat="1" x14ac:dyDescent="0.25">
      <c r="A484" s="111"/>
    </row>
    <row r="485" spans="1:1" s="36" customFormat="1" x14ac:dyDescent="0.25">
      <c r="A485" s="111"/>
    </row>
    <row r="486" spans="1:1" s="36" customFormat="1" x14ac:dyDescent="0.25">
      <c r="A486" s="111"/>
    </row>
    <row r="487" spans="1:1" s="36" customFormat="1" x14ac:dyDescent="0.25">
      <c r="A487" s="111"/>
    </row>
    <row r="488" spans="1:1" s="36" customFormat="1" x14ac:dyDescent="0.25">
      <c r="A488" s="111"/>
    </row>
    <row r="489" spans="1:1" s="36" customFormat="1" x14ac:dyDescent="0.25">
      <c r="A489" s="111"/>
    </row>
    <row r="490" spans="1:1" s="36" customFormat="1" x14ac:dyDescent="0.25">
      <c r="A490" s="111"/>
    </row>
    <row r="491" spans="1:1" s="36" customFormat="1" x14ac:dyDescent="0.25">
      <c r="A491" s="111"/>
    </row>
    <row r="492" spans="1:1" s="36" customFormat="1" x14ac:dyDescent="0.25">
      <c r="A492" s="111"/>
    </row>
    <row r="493" spans="1:1" s="36" customFormat="1" x14ac:dyDescent="0.25">
      <c r="A493" s="111"/>
    </row>
    <row r="494" spans="1:1" s="36" customFormat="1" x14ac:dyDescent="0.25">
      <c r="A494" s="111"/>
    </row>
    <row r="495" spans="1:1" s="36" customFormat="1" x14ac:dyDescent="0.25">
      <c r="A495" s="111"/>
    </row>
    <row r="496" spans="1:1" s="36" customFormat="1" x14ac:dyDescent="0.25">
      <c r="A496" s="111"/>
    </row>
    <row r="497" spans="1:1" s="36" customFormat="1" x14ac:dyDescent="0.25">
      <c r="A497" s="111"/>
    </row>
    <row r="498" spans="1:1" s="36" customFormat="1" x14ac:dyDescent="0.25">
      <c r="A498" s="111"/>
    </row>
    <row r="499" spans="1:1" s="36" customFormat="1" x14ac:dyDescent="0.25">
      <c r="A499" s="111"/>
    </row>
    <row r="500" spans="1:1" s="36" customFormat="1" x14ac:dyDescent="0.25">
      <c r="A500" s="111"/>
    </row>
    <row r="501" spans="1:1" s="36" customFormat="1" x14ac:dyDescent="0.25">
      <c r="A501" s="111"/>
    </row>
    <row r="502" spans="1:1" s="36" customFormat="1" x14ac:dyDescent="0.25">
      <c r="A502" s="111"/>
    </row>
    <row r="503" spans="1:1" s="36" customFormat="1" x14ac:dyDescent="0.25">
      <c r="A503" s="111"/>
    </row>
    <row r="504" spans="1:1" s="36" customFormat="1" x14ac:dyDescent="0.25">
      <c r="A504" s="111"/>
    </row>
    <row r="505" spans="1:1" s="36" customFormat="1" x14ac:dyDescent="0.25">
      <c r="A505" s="111"/>
    </row>
    <row r="506" spans="1:1" s="36" customFormat="1" x14ac:dyDescent="0.25">
      <c r="A506" s="111"/>
    </row>
    <row r="507" spans="1:1" s="36" customFormat="1" x14ac:dyDescent="0.25">
      <c r="A507" s="111"/>
    </row>
    <row r="508" spans="1:1" s="36" customFormat="1" x14ac:dyDescent="0.25">
      <c r="A508" s="111"/>
    </row>
    <row r="509" spans="1:1" s="36" customFormat="1" x14ac:dyDescent="0.25">
      <c r="A509" s="111"/>
    </row>
    <row r="510" spans="1:1" s="36" customFormat="1" x14ac:dyDescent="0.25">
      <c r="A510" s="111"/>
    </row>
    <row r="511" spans="1:1" s="36" customFormat="1" x14ac:dyDescent="0.25">
      <c r="A511" s="111"/>
    </row>
    <row r="512" spans="1:1" s="36" customFormat="1" x14ac:dyDescent="0.25">
      <c r="A512" s="111"/>
    </row>
    <row r="513" spans="1:1" s="36" customFormat="1" x14ac:dyDescent="0.25">
      <c r="A513" s="111"/>
    </row>
    <row r="514" spans="1:1" s="36" customFormat="1" x14ac:dyDescent="0.25">
      <c r="A514" s="111"/>
    </row>
    <row r="515" spans="1:1" s="36" customFormat="1" x14ac:dyDescent="0.25">
      <c r="A515" s="111"/>
    </row>
    <row r="516" spans="1:1" s="36" customFormat="1" x14ac:dyDescent="0.25">
      <c r="A516" s="111"/>
    </row>
    <row r="517" spans="1:1" s="36" customFormat="1" x14ac:dyDescent="0.25">
      <c r="A517" s="111"/>
    </row>
    <row r="518" spans="1:1" s="36" customFormat="1" x14ac:dyDescent="0.25">
      <c r="A518" s="111"/>
    </row>
    <row r="519" spans="1:1" s="36" customFormat="1" x14ac:dyDescent="0.25">
      <c r="A519" s="111"/>
    </row>
    <row r="520" spans="1:1" s="36" customFormat="1" x14ac:dyDescent="0.25">
      <c r="A520" s="111"/>
    </row>
    <row r="521" spans="1:1" s="36" customFormat="1" x14ac:dyDescent="0.25">
      <c r="A521" s="111"/>
    </row>
    <row r="522" spans="1:1" s="36" customFormat="1" x14ac:dyDescent="0.25">
      <c r="A522" s="111"/>
    </row>
    <row r="523" spans="1:1" s="36" customFormat="1" x14ac:dyDescent="0.25">
      <c r="A523" s="111"/>
    </row>
    <row r="524" spans="1:1" s="36" customFormat="1" x14ac:dyDescent="0.25">
      <c r="A524" s="111"/>
    </row>
    <row r="525" spans="1:1" s="36" customFormat="1" x14ac:dyDescent="0.25">
      <c r="A525" s="111"/>
    </row>
    <row r="526" spans="1:1" s="36" customFormat="1" x14ac:dyDescent="0.25">
      <c r="A526" s="111"/>
    </row>
    <row r="527" spans="1:1" s="36" customFormat="1" x14ac:dyDescent="0.25">
      <c r="A527" s="111"/>
    </row>
    <row r="528" spans="1:1" s="36" customFormat="1" x14ac:dyDescent="0.25">
      <c r="A528" s="111"/>
    </row>
    <row r="529" spans="1:1" s="36" customFormat="1" x14ac:dyDescent="0.25">
      <c r="A529" s="111"/>
    </row>
    <row r="530" spans="1:1" s="36" customFormat="1" x14ac:dyDescent="0.25">
      <c r="A530" s="111"/>
    </row>
    <row r="531" spans="1:1" s="36" customFormat="1" x14ac:dyDescent="0.25">
      <c r="A531" s="111"/>
    </row>
    <row r="532" spans="1:1" s="36" customFormat="1" x14ac:dyDescent="0.25">
      <c r="A532" s="111"/>
    </row>
    <row r="533" spans="1:1" s="36" customFormat="1" x14ac:dyDescent="0.25">
      <c r="A533" s="111"/>
    </row>
    <row r="534" spans="1:1" s="36" customFormat="1" x14ac:dyDescent="0.25">
      <c r="A534" s="111"/>
    </row>
    <row r="535" spans="1:1" s="36" customFormat="1" x14ac:dyDescent="0.25">
      <c r="A535" s="111"/>
    </row>
    <row r="536" spans="1:1" s="36" customFormat="1" x14ac:dyDescent="0.25">
      <c r="A536" s="111"/>
    </row>
    <row r="537" spans="1:1" s="36" customFormat="1" x14ac:dyDescent="0.25">
      <c r="A537" s="111"/>
    </row>
    <row r="538" spans="1:1" s="36" customFormat="1" x14ac:dyDescent="0.25">
      <c r="A538" s="111"/>
    </row>
    <row r="539" spans="1:1" s="36" customFormat="1" x14ac:dyDescent="0.25">
      <c r="A539" s="111"/>
    </row>
    <row r="540" spans="1:1" s="36" customFormat="1" x14ac:dyDescent="0.25">
      <c r="A540" s="111"/>
    </row>
    <row r="541" spans="1:1" s="36" customFormat="1" x14ac:dyDescent="0.25">
      <c r="A541" s="111"/>
    </row>
    <row r="542" spans="1:1" s="36" customFormat="1" x14ac:dyDescent="0.25">
      <c r="A542" s="111"/>
    </row>
    <row r="543" spans="1:1" s="36" customFormat="1" x14ac:dyDescent="0.25">
      <c r="A543" s="111"/>
    </row>
    <row r="544" spans="1:1" s="36" customFormat="1" x14ac:dyDescent="0.25">
      <c r="A544" s="111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</sheetData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05"/>
  <sheetViews>
    <sheetView workbookViewId="0"/>
  </sheetViews>
  <sheetFormatPr defaultColWidth="8.85546875" defaultRowHeight="15" outlineLevelRow="1" x14ac:dyDescent="0.25"/>
  <cols>
    <col min="1" max="1" width="5" style="37" customWidth="1"/>
    <col min="2" max="2" width="50.85546875" customWidth="1"/>
    <col min="3" max="3" width="40.7109375" customWidth="1"/>
    <col min="4" max="4" width="10.42578125" customWidth="1"/>
    <col min="5" max="5" width="20" style="44" customWidth="1"/>
    <col min="6" max="14" width="20" customWidth="1"/>
    <col min="15" max="19" width="15.7109375" customWidth="1"/>
  </cols>
  <sheetData>
    <row r="1" spans="1:17" x14ac:dyDescent="0.25">
      <c r="A1" s="30" t="str">
        <f ca="1">Assumptions!A2</f>
        <v>Assumptions</v>
      </c>
    </row>
    <row r="2" spans="1:17" x14ac:dyDescent="0.25">
      <c r="A2" s="30" t="str">
        <f ca="1">RIGHT(CELL("filename",A1),LEN(CELL("filename",A1))-FIND("]",CELL("filename",A1)))</f>
        <v>Scrubbed #6 9-12</v>
      </c>
    </row>
    <row r="3" spans="1:17" x14ac:dyDescent="0.25">
      <c r="A3" s="30"/>
    </row>
    <row r="4" spans="1:17" x14ac:dyDescent="0.25">
      <c r="B4" t="s">
        <v>28</v>
      </c>
      <c r="E4" s="27"/>
      <c r="F4" s="27">
        <v>0</v>
      </c>
      <c r="G4" s="27">
        <v>0.02</v>
      </c>
      <c r="H4" s="27">
        <f t="shared" ref="H4:Q4" si="0">G4</f>
        <v>0.02</v>
      </c>
      <c r="I4" s="27">
        <f t="shared" si="0"/>
        <v>0.02</v>
      </c>
      <c r="J4" s="27">
        <f t="shared" si="0"/>
        <v>0.02</v>
      </c>
      <c r="K4" s="27">
        <f t="shared" si="0"/>
        <v>0.02</v>
      </c>
      <c r="L4" s="27">
        <f t="shared" si="0"/>
        <v>0.02</v>
      </c>
      <c r="M4" s="27">
        <f t="shared" si="0"/>
        <v>0.02</v>
      </c>
      <c r="N4" s="27">
        <f t="shared" si="0"/>
        <v>0.02</v>
      </c>
      <c r="O4" s="27">
        <f t="shared" si="0"/>
        <v>0.02</v>
      </c>
      <c r="P4" s="27">
        <f t="shared" si="0"/>
        <v>0.02</v>
      </c>
      <c r="Q4" s="27">
        <f t="shared" si="0"/>
        <v>0.02</v>
      </c>
    </row>
    <row r="5" spans="1:17" x14ac:dyDescent="0.25">
      <c r="B5" s="26" t="s">
        <v>88</v>
      </c>
      <c r="C5" s="26"/>
      <c r="E5" s="28"/>
      <c r="F5" s="28">
        <f>F4</f>
        <v>0</v>
      </c>
      <c r="G5" s="29">
        <f t="shared" ref="G5:Q5" si="1">G4+F5</f>
        <v>0.02</v>
      </c>
      <c r="H5" s="29">
        <f t="shared" si="1"/>
        <v>0.04</v>
      </c>
      <c r="I5" s="29">
        <f t="shared" si="1"/>
        <v>0.06</v>
      </c>
      <c r="J5" s="29">
        <f t="shared" si="1"/>
        <v>0.08</v>
      </c>
      <c r="K5" s="29">
        <f t="shared" si="1"/>
        <v>0.1</v>
      </c>
      <c r="L5" s="29">
        <f t="shared" si="1"/>
        <v>0.12000000000000001</v>
      </c>
      <c r="M5" s="29">
        <f t="shared" si="1"/>
        <v>0.14000000000000001</v>
      </c>
      <c r="N5" s="29">
        <f t="shared" si="1"/>
        <v>0.16</v>
      </c>
      <c r="O5" s="29">
        <f t="shared" si="1"/>
        <v>0.18</v>
      </c>
      <c r="P5" s="29">
        <f t="shared" si="1"/>
        <v>0.19999999999999998</v>
      </c>
      <c r="Q5" s="29">
        <f t="shared" si="1"/>
        <v>0.21999999999999997</v>
      </c>
    </row>
    <row r="6" spans="1:17" x14ac:dyDescent="0.25">
      <c r="B6" t="s">
        <v>51</v>
      </c>
      <c r="C6" s="26"/>
      <c r="E6" s="27"/>
      <c r="F6" s="27">
        <v>0</v>
      </c>
      <c r="G6" s="27">
        <v>0.04</v>
      </c>
      <c r="H6" s="27">
        <f t="shared" ref="H6:Q6" si="2">G6</f>
        <v>0.04</v>
      </c>
      <c r="I6" s="27">
        <f t="shared" si="2"/>
        <v>0.04</v>
      </c>
      <c r="J6" s="27">
        <f t="shared" si="2"/>
        <v>0.04</v>
      </c>
      <c r="K6" s="27">
        <f t="shared" si="2"/>
        <v>0.04</v>
      </c>
      <c r="L6" s="27">
        <f t="shared" si="2"/>
        <v>0.04</v>
      </c>
      <c r="M6" s="27">
        <f t="shared" si="2"/>
        <v>0.04</v>
      </c>
      <c r="N6" s="27">
        <f t="shared" si="2"/>
        <v>0.04</v>
      </c>
      <c r="O6" s="27">
        <f t="shared" si="2"/>
        <v>0.04</v>
      </c>
      <c r="P6" s="27">
        <f t="shared" si="2"/>
        <v>0.04</v>
      </c>
      <c r="Q6" s="27">
        <f t="shared" si="2"/>
        <v>0.04</v>
      </c>
    </row>
    <row r="7" spans="1:17" x14ac:dyDescent="0.25">
      <c r="B7" s="26" t="s">
        <v>88</v>
      </c>
      <c r="E7" s="28"/>
      <c r="F7" s="28">
        <f>F6</f>
        <v>0</v>
      </c>
      <c r="G7" s="29">
        <f t="shared" ref="G7:Q7" si="3">G6+F7</f>
        <v>0.04</v>
      </c>
      <c r="H7" s="29">
        <f t="shared" si="3"/>
        <v>0.08</v>
      </c>
      <c r="I7" s="29">
        <f t="shared" si="3"/>
        <v>0.12</v>
      </c>
      <c r="J7" s="29">
        <f t="shared" si="3"/>
        <v>0.16</v>
      </c>
      <c r="K7" s="29">
        <f t="shared" si="3"/>
        <v>0.2</v>
      </c>
      <c r="L7" s="29">
        <f t="shared" si="3"/>
        <v>0.24000000000000002</v>
      </c>
      <c r="M7" s="29">
        <f t="shared" si="3"/>
        <v>0.28000000000000003</v>
      </c>
      <c r="N7" s="29">
        <f t="shared" si="3"/>
        <v>0.32</v>
      </c>
      <c r="O7" s="29">
        <f t="shared" si="3"/>
        <v>0.36</v>
      </c>
      <c r="P7" s="29">
        <f t="shared" si="3"/>
        <v>0.39999999999999997</v>
      </c>
      <c r="Q7" s="29">
        <f t="shared" si="3"/>
        <v>0.43999999999999995</v>
      </c>
    </row>
    <row r="8" spans="1:17" x14ac:dyDescent="0.25">
      <c r="A8" s="71"/>
      <c r="B8" t="s">
        <v>50</v>
      </c>
      <c r="E8" s="27"/>
      <c r="F8" s="27">
        <v>0</v>
      </c>
      <c r="G8" s="27">
        <v>0.02</v>
      </c>
      <c r="H8" s="27">
        <f t="shared" ref="H8:Q8" si="4">G8</f>
        <v>0.02</v>
      </c>
      <c r="I8" s="27">
        <f t="shared" si="4"/>
        <v>0.02</v>
      </c>
      <c r="J8" s="27">
        <f t="shared" si="4"/>
        <v>0.02</v>
      </c>
      <c r="K8" s="27">
        <f t="shared" si="4"/>
        <v>0.02</v>
      </c>
      <c r="L8" s="27">
        <f t="shared" si="4"/>
        <v>0.02</v>
      </c>
      <c r="M8" s="27">
        <f t="shared" si="4"/>
        <v>0.02</v>
      </c>
      <c r="N8" s="27">
        <f t="shared" si="4"/>
        <v>0.02</v>
      </c>
      <c r="O8" s="27">
        <f t="shared" si="4"/>
        <v>0.02</v>
      </c>
      <c r="P8" s="27">
        <f t="shared" si="4"/>
        <v>0.02</v>
      </c>
      <c r="Q8" s="27">
        <f t="shared" si="4"/>
        <v>0.02</v>
      </c>
    </row>
    <row r="9" spans="1:17" x14ac:dyDescent="0.25">
      <c r="A9" s="71"/>
      <c r="B9" s="26" t="s">
        <v>88</v>
      </c>
      <c r="E9" s="28"/>
      <c r="F9" s="28">
        <f>F8</f>
        <v>0</v>
      </c>
      <c r="G9" s="29">
        <f t="shared" ref="G9:Q9" si="5">G8+F9</f>
        <v>0.02</v>
      </c>
      <c r="H9" s="29">
        <f t="shared" si="5"/>
        <v>0.04</v>
      </c>
      <c r="I9" s="29">
        <f t="shared" si="5"/>
        <v>0.06</v>
      </c>
      <c r="J9" s="29">
        <f t="shared" si="5"/>
        <v>0.08</v>
      </c>
      <c r="K9" s="29">
        <f t="shared" si="5"/>
        <v>0.1</v>
      </c>
      <c r="L9" s="29">
        <f t="shared" si="5"/>
        <v>0.12000000000000001</v>
      </c>
      <c r="M9" s="29">
        <f t="shared" si="5"/>
        <v>0.14000000000000001</v>
      </c>
      <c r="N9" s="29">
        <f t="shared" si="5"/>
        <v>0.16</v>
      </c>
      <c r="O9" s="29">
        <f t="shared" si="5"/>
        <v>0.18</v>
      </c>
      <c r="P9" s="29">
        <f t="shared" si="5"/>
        <v>0.19999999999999998</v>
      </c>
      <c r="Q9" s="29">
        <f t="shared" si="5"/>
        <v>0.21999999999999997</v>
      </c>
    </row>
    <row r="10" spans="1:17" x14ac:dyDescent="0.25">
      <c r="B10" s="26"/>
      <c r="C10" s="26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5">
      <c r="A11" s="71"/>
      <c r="B11" s="18" t="s">
        <v>140</v>
      </c>
      <c r="E11" s="65">
        <v>0.95</v>
      </c>
      <c r="F11" s="65">
        <v>0.95</v>
      </c>
      <c r="G11" s="64">
        <f t="shared" ref="G11:Q14" si="6">F11</f>
        <v>0.95</v>
      </c>
      <c r="H11" s="64">
        <f t="shared" si="6"/>
        <v>0.95</v>
      </c>
      <c r="I11" s="64">
        <f t="shared" si="6"/>
        <v>0.95</v>
      </c>
      <c r="J11" s="64">
        <f t="shared" si="6"/>
        <v>0.95</v>
      </c>
      <c r="K11" s="64">
        <f t="shared" si="6"/>
        <v>0.95</v>
      </c>
      <c r="L11" s="64">
        <f t="shared" si="6"/>
        <v>0.95</v>
      </c>
      <c r="M11" s="64">
        <f t="shared" si="6"/>
        <v>0.95</v>
      </c>
      <c r="N11" s="64">
        <f t="shared" si="6"/>
        <v>0.95</v>
      </c>
      <c r="O11" s="64">
        <f t="shared" si="6"/>
        <v>0.95</v>
      </c>
      <c r="P11" s="64">
        <f t="shared" si="6"/>
        <v>0.95</v>
      </c>
      <c r="Q11" s="64">
        <f t="shared" si="6"/>
        <v>0.95</v>
      </c>
    </row>
    <row r="12" spans="1:17" x14ac:dyDescent="0.25">
      <c r="A12" s="71"/>
      <c r="B12" t="s">
        <v>141</v>
      </c>
      <c r="E12" s="65">
        <v>0.71</v>
      </c>
      <c r="F12" s="65">
        <v>0.71</v>
      </c>
      <c r="G12" s="64">
        <f t="shared" si="6"/>
        <v>0.71</v>
      </c>
      <c r="H12" s="64">
        <f t="shared" si="6"/>
        <v>0.71</v>
      </c>
      <c r="I12" s="64">
        <f t="shared" si="6"/>
        <v>0.71</v>
      </c>
      <c r="J12" s="64">
        <f t="shared" si="6"/>
        <v>0.71</v>
      </c>
      <c r="K12" s="64">
        <f t="shared" si="6"/>
        <v>0.71</v>
      </c>
      <c r="L12" s="64">
        <f t="shared" si="6"/>
        <v>0.71</v>
      </c>
      <c r="M12" s="64">
        <f t="shared" si="6"/>
        <v>0.71</v>
      </c>
      <c r="N12" s="64">
        <f t="shared" si="6"/>
        <v>0.71</v>
      </c>
      <c r="O12" s="64">
        <f t="shared" si="6"/>
        <v>0.71</v>
      </c>
      <c r="P12" s="64">
        <f t="shared" si="6"/>
        <v>0.71</v>
      </c>
      <c r="Q12" s="64">
        <f t="shared" si="6"/>
        <v>0.71</v>
      </c>
    </row>
    <row r="13" spans="1:17" x14ac:dyDescent="0.25">
      <c r="A13" s="71"/>
      <c r="B13" s="18" t="s">
        <v>142</v>
      </c>
      <c r="E13" s="65">
        <v>0.96</v>
      </c>
      <c r="F13" s="65">
        <v>0.96</v>
      </c>
      <c r="G13" s="64">
        <f t="shared" ref="G13:J14" si="7">F13</f>
        <v>0.96</v>
      </c>
      <c r="H13" s="64">
        <f t="shared" si="7"/>
        <v>0.96</v>
      </c>
      <c r="I13" s="64">
        <f t="shared" si="7"/>
        <v>0.96</v>
      </c>
      <c r="J13" s="64">
        <f t="shared" si="7"/>
        <v>0.96</v>
      </c>
      <c r="K13" s="64">
        <f t="shared" si="6"/>
        <v>0.96</v>
      </c>
      <c r="L13" s="64">
        <f t="shared" si="6"/>
        <v>0.96</v>
      </c>
      <c r="M13" s="64">
        <f t="shared" si="6"/>
        <v>0.96</v>
      </c>
      <c r="N13" s="64">
        <f t="shared" si="6"/>
        <v>0.96</v>
      </c>
      <c r="O13" s="64">
        <f t="shared" si="6"/>
        <v>0.96</v>
      </c>
      <c r="P13" s="64">
        <f t="shared" si="6"/>
        <v>0.96</v>
      </c>
      <c r="Q13" s="64">
        <f t="shared" si="6"/>
        <v>0.96</v>
      </c>
    </row>
    <row r="14" spans="1:17" x14ac:dyDescent="0.25">
      <c r="A14" s="71"/>
      <c r="B14" s="18" t="s">
        <v>143</v>
      </c>
      <c r="E14" s="65">
        <v>0.83</v>
      </c>
      <c r="F14" s="65">
        <v>0.83</v>
      </c>
      <c r="G14" s="64">
        <f t="shared" si="7"/>
        <v>0.83</v>
      </c>
      <c r="H14" s="64">
        <f t="shared" si="7"/>
        <v>0.83</v>
      </c>
      <c r="I14" s="64">
        <f t="shared" si="7"/>
        <v>0.83</v>
      </c>
      <c r="J14" s="64">
        <f t="shared" si="7"/>
        <v>0.83</v>
      </c>
      <c r="K14" s="64">
        <f t="shared" si="6"/>
        <v>0.83</v>
      </c>
      <c r="L14" s="64">
        <f t="shared" si="6"/>
        <v>0.83</v>
      </c>
      <c r="M14" s="64">
        <f t="shared" si="6"/>
        <v>0.83</v>
      </c>
      <c r="N14" s="64">
        <f t="shared" si="6"/>
        <v>0.83</v>
      </c>
      <c r="O14" s="64">
        <f t="shared" si="6"/>
        <v>0.83</v>
      </c>
      <c r="P14" s="64">
        <f t="shared" si="6"/>
        <v>0.83</v>
      </c>
      <c r="Q14" s="64">
        <f t="shared" si="6"/>
        <v>0.83</v>
      </c>
    </row>
    <row r="15" spans="1:17" x14ac:dyDescent="0.25">
      <c r="A15" s="71"/>
      <c r="B15" s="18" t="s">
        <v>144</v>
      </c>
      <c r="E15" s="31">
        <f t="shared" ref="E15:Q15" si="8">E11*E$169</f>
        <v>0</v>
      </c>
      <c r="F15" s="31" t="e">
        <f t="shared" si="8"/>
        <v>#REF!</v>
      </c>
      <c r="G15" s="31" t="e">
        <f t="shared" si="8"/>
        <v>#REF!</v>
      </c>
      <c r="H15" s="31" t="e">
        <f t="shared" si="8"/>
        <v>#REF!</v>
      </c>
      <c r="I15" s="31" t="e">
        <f t="shared" si="8"/>
        <v>#REF!</v>
      </c>
      <c r="J15" s="31" t="e">
        <f t="shared" si="8"/>
        <v>#REF!</v>
      </c>
      <c r="K15" s="31" t="e">
        <f t="shared" si="8"/>
        <v>#REF!</v>
      </c>
      <c r="L15" s="31" t="e">
        <f t="shared" si="8"/>
        <v>#REF!</v>
      </c>
      <c r="M15" s="31" t="e">
        <f t="shared" si="8"/>
        <v>#REF!</v>
      </c>
      <c r="N15" s="31" t="e">
        <f t="shared" si="8"/>
        <v>#REF!</v>
      </c>
      <c r="O15" s="31" t="e">
        <f t="shared" si="8"/>
        <v>#REF!</v>
      </c>
      <c r="P15" s="31" t="e">
        <f t="shared" si="8"/>
        <v>#REF!</v>
      </c>
      <c r="Q15" s="31" t="e">
        <f t="shared" si="8"/>
        <v>#REF!</v>
      </c>
    </row>
    <row r="16" spans="1:17" x14ac:dyDescent="0.25">
      <c r="A16" s="71"/>
      <c r="B16" s="18" t="s">
        <v>145</v>
      </c>
      <c r="E16" s="31">
        <f t="shared" ref="E16:Q16" si="9">+E15*E12</f>
        <v>0</v>
      </c>
      <c r="F16" s="31" t="e">
        <f t="shared" si="9"/>
        <v>#REF!</v>
      </c>
      <c r="G16" s="31" t="e">
        <f t="shared" si="9"/>
        <v>#REF!</v>
      </c>
      <c r="H16" s="31" t="e">
        <f t="shared" si="9"/>
        <v>#REF!</v>
      </c>
      <c r="I16" s="31" t="e">
        <f t="shared" si="9"/>
        <v>#REF!</v>
      </c>
      <c r="J16" s="31" t="e">
        <f t="shared" si="9"/>
        <v>#REF!</v>
      </c>
      <c r="K16" s="31" t="e">
        <f t="shared" si="9"/>
        <v>#REF!</v>
      </c>
      <c r="L16" s="31" t="e">
        <f t="shared" si="9"/>
        <v>#REF!</v>
      </c>
      <c r="M16" s="31" t="e">
        <f t="shared" si="9"/>
        <v>#REF!</v>
      </c>
      <c r="N16" s="31" t="e">
        <f t="shared" si="9"/>
        <v>#REF!</v>
      </c>
      <c r="O16" s="31" t="e">
        <f t="shared" si="9"/>
        <v>#REF!</v>
      </c>
      <c r="P16" s="31" t="e">
        <f t="shared" si="9"/>
        <v>#REF!</v>
      </c>
      <c r="Q16" s="31" t="e">
        <f t="shared" si="9"/>
        <v>#REF!</v>
      </c>
    </row>
    <row r="17" spans="1:28" x14ac:dyDescent="0.25">
      <c r="A17" s="71"/>
      <c r="B17" s="18" t="s">
        <v>146</v>
      </c>
      <c r="E17" s="31">
        <f t="shared" ref="E17:Q17" si="10">E13*E169</f>
        <v>0</v>
      </c>
      <c r="F17" s="31" t="e">
        <f t="shared" si="10"/>
        <v>#REF!</v>
      </c>
      <c r="G17" s="31" t="e">
        <f t="shared" si="10"/>
        <v>#REF!</v>
      </c>
      <c r="H17" s="31" t="e">
        <f t="shared" si="10"/>
        <v>#REF!</v>
      </c>
      <c r="I17" s="31" t="e">
        <f t="shared" si="10"/>
        <v>#REF!</v>
      </c>
      <c r="J17" s="31" t="e">
        <f t="shared" si="10"/>
        <v>#REF!</v>
      </c>
      <c r="K17" s="31" t="e">
        <f t="shared" si="10"/>
        <v>#REF!</v>
      </c>
      <c r="L17" s="31" t="e">
        <f t="shared" si="10"/>
        <v>#REF!</v>
      </c>
      <c r="M17" s="31" t="e">
        <f t="shared" si="10"/>
        <v>#REF!</v>
      </c>
      <c r="N17" s="31" t="e">
        <f t="shared" si="10"/>
        <v>#REF!</v>
      </c>
      <c r="O17" s="31" t="e">
        <f t="shared" si="10"/>
        <v>#REF!</v>
      </c>
      <c r="P17" s="31" t="e">
        <f t="shared" si="10"/>
        <v>#REF!</v>
      </c>
      <c r="Q17" s="31" t="e">
        <f t="shared" si="10"/>
        <v>#REF!</v>
      </c>
    </row>
    <row r="18" spans="1:28" x14ac:dyDescent="0.25">
      <c r="A18" s="71"/>
      <c r="B18" s="18" t="s">
        <v>147</v>
      </c>
      <c r="E18" s="31">
        <f t="shared" ref="E18:Q18" si="11">E14*E169</f>
        <v>0</v>
      </c>
      <c r="F18" s="31" t="e">
        <f t="shared" si="11"/>
        <v>#REF!</v>
      </c>
      <c r="G18" s="31" t="e">
        <f t="shared" si="11"/>
        <v>#REF!</v>
      </c>
      <c r="H18" s="31" t="e">
        <f t="shared" si="11"/>
        <v>#REF!</v>
      </c>
      <c r="I18" s="31" t="e">
        <f t="shared" si="11"/>
        <v>#REF!</v>
      </c>
      <c r="J18" s="31" t="e">
        <f t="shared" si="11"/>
        <v>#REF!</v>
      </c>
      <c r="K18" s="31" t="e">
        <f t="shared" si="11"/>
        <v>#REF!</v>
      </c>
      <c r="L18" s="31" t="e">
        <f t="shared" si="11"/>
        <v>#REF!</v>
      </c>
      <c r="M18" s="31" t="e">
        <f t="shared" si="11"/>
        <v>#REF!</v>
      </c>
      <c r="N18" s="31" t="e">
        <f t="shared" si="11"/>
        <v>#REF!</v>
      </c>
      <c r="O18" s="31" t="e">
        <f t="shared" si="11"/>
        <v>#REF!</v>
      </c>
      <c r="P18" s="31" t="e">
        <f t="shared" si="11"/>
        <v>#REF!</v>
      </c>
      <c r="Q18" s="31" t="e">
        <f t="shared" si="11"/>
        <v>#REF!</v>
      </c>
    </row>
    <row r="19" spans="1:28" x14ac:dyDescent="0.25">
      <c r="B19" s="26"/>
      <c r="C19" s="26"/>
      <c r="E19" s="28"/>
      <c r="F19" s="29"/>
      <c r="G19" s="29"/>
      <c r="H19" s="29"/>
      <c r="I19" s="29"/>
      <c r="J19" s="29"/>
      <c r="K19" s="29"/>
      <c r="L19" s="29"/>
      <c r="M19" s="29"/>
      <c r="N19" s="29"/>
    </row>
    <row r="20" spans="1:28" x14ac:dyDescent="0.25">
      <c r="B20" s="26"/>
      <c r="C20" s="26"/>
      <c r="E20" s="28"/>
      <c r="F20" s="29"/>
      <c r="G20" s="29"/>
      <c r="H20" s="29"/>
      <c r="I20" s="29"/>
      <c r="J20" s="29"/>
      <c r="K20" s="29"/>
      <c r="L20" s="29"/>
      <c r="M20" s="29"/>
      <c r="N20" s="29"/>
    </row>
    <row r="21" spans="1:28" x14ac:dyDescent="0.25">
      <c r="A21" s="4" t="s">
        <v>24</v>
      </c>
      <c r="B21" s="4" t="s">
        <v>25</v>
      </c>
      <c r="C21" s="4"/>
      <c r="D21" s="41"/>
      <c r="E21"/>
      <c r="F21" s="3" t="s">
        <v>0</v>
      </c>
      <c r="G21" s="21" t="s">
        <v>1</v>
      </c>
      <c r="H21" s="22" t="s">
        <v>2</v>
      </c>
      <c r="I21" s="3" t="s">
        <v>3</v>
      </c>
      <c r="J21" s="3" t="s">
        <v>4</v>
      </c>
      <c r="K21" s="4" t="s">
        <v>5</v>
      </c>
      <c r="L21" s="4" t="s">
        <v>61</v>
      </c>
      <c r="M21" s="4" t="s">
        <v>62</v>
      </c>
      <c r="N21" s="4" t="s">
        <v>63</v>
      </c>
      <c r="O21" s="4" t="s">
        <v>64</v>
      </c>
      <c r="P21" s="4" t="s">
        <v>65</v>
      </c>
      <c r="Q21" s="4" t="s">
        <v>66</v>
      </c>
    </row>
    <row r="22" spans="1:28" x14ac:dyDescent="0.25">
      <c r="A22" s="30" t="s">
        <v>148</v>
      </c>
      <c r="B22" s="26"/>
      <c r="E22"/>
      <c r="F22" s="28"/>
      <c r="G22" s="29"/>
      <c r="H22" s="29"/>
      <c r="I22" s="29"/>
      <c r="J22" s="29"/>
      <c r="K22" s="29"/>
    </row>
    <row r="23" spans="1:28" s="2" customFormat="1" x14ac:dyDescent="0.25">
      <c r="A23" s="16"/>
      <c r="B23" s="2" t="s">
        <v>137</v>
      </c>
      <c r="F23" s="6" t="e">
        <f>((Revenue!D$8*F$11*SUM(F$165:F$168)-F24))</f>
        <v>#REF!</v>
      </c>
      <c r="G23" s="6" t="e">
        <f>((Revenue!E$8*G$11*SUM(G$165:G$168)-G24))</f>
        <v>#REF!</v>
      </c>
      <c r="H23" s="6" t="e">
        <f>((Revenue!F$8*H$11*SUM(H$165:H$168)-H24))</f>
        <v>#REF!</v>
      </c>
      <c r="I23" s="6" t="e">
        <f>((Revenue!G$8*I$11*SUM(I$165:I$168)-I24))</f>
        <v>#REF!</v>
      </c>
      <c r="J23" s="6" t="e">
        <f>((Revenue!H$8*J$11*SUM(J$165:J$168)-J24))</f>
        <v>#REF!</v>
      </c>
      <c r="K23" s="6" t="e">
        <f>((Revenue!I$8*K$11*SUM(K$165:K$168)-K24))</f>
        <v>#REF!</v>
      </c>
      <c r="L23" s="6" t="e">
        <f>((Revenue!J$8*L$11*SUM(L$165:L$168)-L24))</f>
        <v>#REF!</v>
      </c>
      <c r="M23" s="6" t="e">
        <f>((Revenue!K$8*M$11*SUM(M$165:M$168)-M24))</f>
        <v>#REF!</v>
      </c>
      <c r="N23" s="6" t="e">
        <f>((Revenue!L$8*N$11*SUM(N$165:N$168)-N24))</f>
        <v>#REF!</v>
      </c>
      <c r="O23" s="6" t="e">
        <f>((Revenue!M$8*O$11*SUM(O$165:O$168)-O24))</f>
        <v>#REF!</v>
      </c>
      <c r="P23" s="6" t="e">
        <f>((Revenue!N$8*P$11*SUM(P$165:P$168)-P24))</f>
        <v>#REF!</v>
      </c>
      <c r="Q23" s="6" t="e">
        <f>((Revenue!O$8*Q$11*SUM(Q$165:Q$168)-Q24))</f>
        <v>#REF!</v>
      </c>
      <c r="R23" s="155"/>
    </row>
    <row r="24" spans="1:28" s="2" customFormat="1" x14ac:dyDescent="0.25">
      <c r="A24" s="16"/>
      <c r="B24" s="2" t="s">
        <v>136</v>
      </c>
      <c r="F24" s="32" t="e">
        <f>F$11*SUM(F$165:F$168)*Revenue!#REF!</f>
        <v>#REF!</v>
      </c>
      <c r="G24" s="32" t="e">
        <f>G$11*SUM(G$165:G$168)*Revenue!#REF!</f>
        <v>#REF!</v>
      </c>
      <c r="H24" s="32" t="e">
        <f>H$11*SUM(H$165:H$168)*Revenue!#REF!</f>
        <v>#REF!</v>
      </c>
      <c r="I24" s="32" t="e">
        <f>I$11*SUM(I$165:I$168)*Revenue!#REF!</f>
        <v>#REF!</v>
      </c>
      <c r="J24" s="32" t="e">
        <f>J$11*SUM(J$165:J$168)*Revenue!#REF!</f>
        <v>#REF!</v>
      </c>
      <c r="K24" s="32" t="e">
        <f>K$11*SUM(K$165:K$168)*Revenue!#REF!</f>
        <v>#REF!</v>
      </c>
      <c r="L24" s="32" t="e">
        <f>L$11*SUM(L$165:L$168)*Revenue!#REF!</f>
        <v>#REF!</v>
      </c>
      <c r="M24" s="32" t="e">
        <f>M$11*SUM(M$165:M$168)*Revenue!#REF!</f>
        <v>#REF!</v>
      </c>
      <c r="N24" s="32" t="e">
        <f>N$11*SUM(N$165:N$168)*Revenue!#REF!</f>
        <v>#REF!</v>
      </c>
      <c r="O24" s="32" t="e">
        <f>O$11*SUM(O$165:O$168)*Revenue!#REF!</f>
        <v>#REF!</v>
      </c>
      <c r="P24" s="32" t="e">
        <f>P$11*SUM(P$165:P$168)*Revenue!#REF!</f>
        <v>#REF!</v>
      </c>
      <c r="Q24" s="32" t="e">
        <f>Q$11*SUM(Q$165:Q$168)*Revenue!#REF!</f>
        <v>#REF!</v>
      </c>
      <c r="R24" s="155"/>
    </row>
    <row r="25" spans="1:28" s="2" customFormat="1" x14ac:dyDescent="0.25">
      <c r="A25" s="16"/>
      <c r="B25" s="16" t="s">
        <v>213</v>
      </c>
      <c r="F25" s="6" t="e">
        <f t="shared" ref="F25:Q25" si="12">SUM(F23:F24)</f>
        <v>#REF!</v>
      </c>
      <c r="G25" s="6" t="e">
        <f t="shared" si="12"/>
        <v>#REF!</v>
      </c>
      <c r="H25" s="6" t="e">
        <f t="shared" si="12"/>
        <v>#REF!</v>
      </c>
      <c r="I25" s="6" t="e">
        <f t="shared" si="12"/>
        <v>#REF!</v>
      </c>
      <c r="J25" s="6" t="e">
        <f t="shared" si="12"/>
        <v>#REF!</v>
      </c>
      <c r="K25" s="6" t="e">
        <f t="shared" si="12"/>
        <v>#REF!</v>
      </c>
      <c r="L25" s="6" t="e">
        <f t="shared" si="12"/>
        <v>#REF!</v>
      </c>
      <c r="M25" s="6" t="e">
        <f t="shared" si="12"/>
        <v>#REF!</v>
      </c>
      <c r="N25" s="6" t="e">
        <f t="shared" si="12"/>
        <v>#REF!</v>
      </c>
      <c r="O25" s="6" t="e">
        <f t="shared" si="12"/>
        <v>#REF!</v>
      </c>
      <c r="P25" s="6" t="e">
        <f t="shared" si="12"/>
        <v>#REF!</v>
      </c>
      <c r="Q25" s="6" t="e">
        <f t="shared" si="12"/>
        <v>#REF!</v>
      </c>
    </row>
    <row r="26" spans="1:28" s="6" customFormat="1" x14ac:dyDescent="0.25">
      <c r="A26" s="121" t="s">
        <v>156</v>
      </c>
      <c r="B26" s="12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6" customFormat="1" x14ac:dyDescent="0.25">
      <c r="A27" s="121"/>
      <c r="B27" s="123" t="s">
        <v>209</v>
      </c>
      <c r="F27" s="6" t="e">
        <f>F$15*Revenue!D17</f>
        <v>#REF!</v>
      </c>
      <c r="G27" s="6" t="e">
        <f>G$15*Revenue!E17</f>
        <v>#REF!</v>
      </c>
      <c r="H27" s="6" t="e">
        <f>H$15*Revenue!F17</f>
        <v>#REF!</v>
      </c>
      <c r="I27" s="6" t="e">
        <f>I$15*Revenue!G17</f>
        <v>#REF!</v>
      </c>
      <c r="J27" s="6" t="e">
        <f>J$15*Revenue!H17</f>
        <v>#REF!</v>
      </c>
      <c r="K27" s="6" t="e">
        <f>K$15*Revenue!I17</f>
        <v>#REF!</v>
      </c>
      <c r="L27" s="6" t="e">
        <f>L$15*Revenue!J17</f>
        <v>#REF!</v>
      </c>
      <c r="M27" s="6" t="e">
        <f>M$15*Revenue!K17</f>
        <v>#REF!</v>
      </c>
      <c r="N27" s="6" t="e">
        <f>N$15*Revenue!L17</f>
        <v>#REF!</v>
      </c>
      <c r="O27" s="6" t="e">
        <f>O$15*Revenue!M17</f>
        <v>#REF!</v>
      </c>
      <c r="P27" s="6" t="e">
        <f>P$15*Revenue!N17</f>
        <v>#REF!</v>
      </c>
      <c r="Q27" s="6" t="e">
        <f>Q$15*Revenue!O17</f>
        <v>#REF!</v>
      </c>
      <c r="R27" s="155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6" customFormat="1" x14ac:dyDescent="0.25">
      <c r="A28" s="121"/>
      <c r="B28" s="6" t="s">
        <v>151</v>
      </c>
      <c r="F28" s="6" t="e">
        <f>F$15*Revenue!D$18</f>
        <v>#REF!</v>
      </c>
      <c r="G28" s="6" t="e">
        <f>G$15*Revenue!E$18</f>
        <v>#REF!</v>
      </c>
      <c r="H28" s="6" t="e">
        <f>H$15*Revenue!F$18</f>
        <v>#REF!</v>
      </c>
      <c r="I28" s="6" t="e">
        <f>I$15*Revenue!G$18</f>
        <v>#REF!</v>
      </c>
      <c r="J28" s="6" t="e">
        <f>J$15*Revenue!H$18</f>
        <v>#REF!</v>
      </c>
      <c r="K28" s="6" t="e">
        <f>K$15*Revenue!I$18</f>
        <v>#REF!</v>
      </c>
      <c r="L28" s="6" t="e">
        <f>L$15*Revenue!J$18</f>
        <v>#REF!</v>
      </c>
      <c r="M28" s="6" t="e">
        <f>M$15*Revenue!K$18</f>
        <v>#REF!</v>
      </c>
      <c r="N28" s="6" t="e">
        <f>N$15*Revenue!L$18</f>
        <v>#REF!</v>
      </c>
      <c r="O28" s="6" t="e">
        <f>O$15*Revenue!M$18</f>
        <v>#REF!</v>
      </c>
      <c r="P28" s="6" t="e">
        <f>P$15*Revenue!N$18</f>
        <v>#REF!</v>
      </c>
      <c r="Q28" s="6" t="e">
        <f>Q$15*Revenue!O$18</f>
        <v>#REF!</v>
      </c>
      <c r="R28" s="155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6" customFormat="1" x14ac:dyDescent="0.25">
      <c r="A29" s="121"/>
      <c r="B29" s="6" t="s">
        <v>152</v>
      </c>
      <c r="F29" s="6" t="e">
        <f>F$15*Revenue!D$19</f>
        <v>#REF!</v>
      </c>
      <c r="G29" s="6" t="e">
        <f>G$15*Revenue!E$19</f>
        <v>#REF!</v>
      </c>
      <c r="H29" s="6" t="e">
        <f>H$15*Revenue!F$19</f>
        <v>#REF!</v>
      </c>
      <c r="I29" s="6" t="e">
        <f>I$15*Revenue!G$19</f>
        <v>#REF!</v>
      </c>
      <c r="J29" s="6" t="e">
        <f>J$15*Revenue!H$19</f>
        <v>#REF!</v>
      </c>
      <c r="K29" s="6" t="e">
        <f>K$15*Revenue!I$19</f>
        <v>#REF!</v>
      </c>
      <c r="L29" s="6" t="e">
        <f>L$15*Revenue!J$19</f>
        <v>#REF!</v>
      </c>
      <c r="M29" s="6" t="e">
        <f>M$15*Revenue!K$19</f>
        <v>#REF!</v>
      </c>
      <c r="N29" s="6" t="e">
        <f>N$15*Revenue!L$19</f>
        <v>#REF!</v>
      </c>
      <c r="O29" s="6" t="e">
        <f>O$15*Revenue!M$19</f>
        <v>#REF!</v>
      </c>
      <c r="P29" s="6" t="e">
        <f>P$15*Revenue!N$19</f>
        <v>#REF!</v>
      </c>
      <c r="Q29" s="6" t="e">
        <f>Q$15*Revenue!O$19</f>
        <v>#REF!</v>
      </c>
      <c r="R29" s="155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6" customFormat="1" x14ac:dyDescent="0.25">
      <c r="A30" s="121"/>
      <c r="B30" s="6" t="s">
        <v>157</v>
      </c>
      <c r="F30" s="6" t="e">
        <f>Revenue!D20*F18</f>
        <v>#REF!</v>
      </c>
      <c r="G30" s="6" t="e">
        <f>Revenue!E20*G18</f>
        <v>#REF!</v>
      </c>
      <c r="H30" s="6" t="e">
        <f>Revenue!F20*H18</f>
        <v>#REF!</v>
      </c>
      <c r="I30" s="6" t="e">
        <f>Revenue!G20*I18</f>
        <v>#REF!</v>
      </c>
      <c r="J30" s="6" t="e">
        <f>Revenue!H20*J18</f>
        <v>#REF!</v>
      </c>
      <c r="K30" s="6" t="e">
        <f>Revenue!I20*K18</f>
        <v>#REF!</v>
      </c>
      <c r="L30" s="6" t="e">
        <f>Revenue!J20*L18</f>
        <v>#REF!</v>
      </c>
      <c r="M30" s="6" t="e">
        <f>Revenue!K20*M18</f>
        <v>#REF!</v>
      </c>
      <c r="N30" s="6" t="e">
        <f>Revenue!L20*N18</f>
        <v>#REF!</v>
      </c>
      <c r="O30" s="6" t="e">
        <f>Revenue!M20*O18</f>
        <v>#REF!</v>
      </c>
      <c r="P30" s="6" t="e">
        <f>Revenue!N20*P18</f>
        <v>#REF!</v>
      </c>
      <c r="Q30" s="6" t="e">
        <f>Revenue!O20*Q18</f>
        <v>#REF!</v>
      </c>
      <c r="R30" s="155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6" customFormat="1" x14ac:dyDescent="0.25">
      <c r="A31" s="121"/>
      <c r="B31" s="31" t="s">
        <v>271</v>
      </c>
      <c r="C31" t="s">
        <v>272</v>
      </c>
      <c r="K31" s="82"/>
      <c r="L31" s="82"/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55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6" customFormat="1" x14ac:dyDescent="0.25">
      <c r="A32" s="121"/>
      <c r="B32" s="6" t="s">
        <v>158</v>
      </c>
      <c r="D32" s="90" t="s">
        <v>288</v>
      </c>
      <c r="F32" s="32" t="e">
        <f>F124-F36</f>
        <v>#REF!</v>
      </c>
      <c r="G32" s="32" t="e">
        <f t="shared" ref="G32:Q32" si="13">G124-G36</f>
        <v>#REF!</v>
      </c>
      <c r="H32" s="32" t="e">
        <f t="shared" si="13"/>
        <v>#REF!</v>
      </c>
      <c r="I32" s="32" t="e">
        <f t="shared" si="13"/>
        <v>#REF!</v>
      </c>
      <c r="J32" s="32" t="e">
        <f t="shared" si="13"/>
        <v>#REF!</v>
      </c>
      <c r="K32" s="32" t="e">
        <f t="shared" si="13"/>
        <v>#REF!</v>
      </c>
      <c r="L32" s="32" t="e">
        <f t="shared" si="13"/>
        <v>#REF!</v>
      </c>
      <c r="M32" s="32" t="e">
        <f t="shared" si="13"/>
        <v>#REF!</v>
      </c>
      <c r="N32" s="32" t="e">
        <f t="shared" si="13"/>
        <v>#REF!</v>
      </c>
      <c r="O32" s="32" t="e">
        <f t="shared" si="13"/>
        <v>#REF!</v>
      </c>
      <c r="P32" s="32" t="e">
        <f t="shared" si="13"/>
        <v>#REF!</v>
      </c>
      <c r="Q32" s="32" t="e">
        <f t="shared" si="13"/>
        <v>#REF!</v>
      </c>
      <c r="R32" s="155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6" customFormat="1" x14ac:dyDescent="0.25">
      <c r="A33" s="121"/>
      <c r="B33" s="121" t="s">
        <v>212</v>
      </c>
      <c r="F33" s="6" t="e">
        <f>SUM(F27:F32)</f>
        <v>#REF!</v>
      </c>
      <c r="G33" s="6" t="e">
        <f t="shared" ref="G33:Q33" si="14">SUM(G27:G32)</f>
        <v>#REF!</v>
      </c>
      <c r="H33" s="6" t="e">
        <f t="shared" si="14"/>
        <v>#REF!</v>
      </c>
      <c r="I33" s="6" t="e">
        <f t="shared" si="14"/>
        <v>#REF!</v>
      </c>
      <c r="J33" s="6" t="e">
        <f t="shared" si="14"/>
        <v>#REF!</v>
      </c>
      <c r="K33" s="6" t="e">
        <f t="shared" si="14"/>
        <v>#REF!</v>
      </c>
      <c r="L33" s="6" t="e">
        <f t="shared" si="14"/>
        <v>#REF!</v>
      </c>
      <c r="M33" s="6" t="e">
        <f t="shared" si="14"/>
        <v>#REF!</v>
      </c>
      <c r="N33" s="6" t="e">
        <f t="shared" si="14"/>
        <v>#REF!</v>
      </c>
      <c r="O33" s="6" t="e">
        <f t="shared" si="14"/>
        <v>#REF!</v>
      </c>
      <c r="P33" s="6" t="e">
        <f t="shared" si="14"/>
        <v>#REF!</v>
      </c>
      <c r="Q33" s="6" t="e">
        <f t="shared" si="14"/>
        <v>#REF!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2" customFormat="1" x14ac:dyDescent="0.25">
      <c r="A34" s="16" t="s">
        <v>149</v>
      </c>
      <c r="B34" s="124"/>
      <c r="F34" s="125"/>
      <c r="G34" s="20"/>
      <c r="H34" s="126"/>
      <c r="I34" s="126"/>
      <c r="J34" s="126"/>
      <c r="K34" s="20"/>
      <c r="L34" s="20"/>
      <c r="M34" s="20"/>
      <c r="N34" s="20"/>
      <c r="O34" s="20"/>
      <c r="P34" s="20"/>
      <c r="Q34" s="20"/>
    </row>
    <row r="35" spans="1:28" s="2" customFormat="1" x14ac:dyDescent="0.25">
      <c r="A35" s="16"/>
      <c r="B35" s="127" t="s">
        <v>155</v>
      </c>
      <c r="F35" s="6" t="e">
        <f>Revenue!D12*F15</f>
        <v>#REF!</v>
      </c>
      <c r="G35" s="6" t="e">
        <f>Revenue!E12*G15</f>
        <v>#REF!</v>
      </c>
      <c r="H35" s="6" t="e">
        <f>Revenue!F12*H15</f>
        <v>#REF!</v>
      </c>
      <c r="I35" s="6" t="e">
        <f>Revenue!G12*I15</f>
        <v>#REF!</v>
      </c>
      <c r="J35" s="6" t="e">
        <f>Revenue!H12*J15</f>
        <v>#REF!</v>
      </c>
      <c r="K35" s="6" t="e">
        <f>Revenue!I12*K15</f>
        <v>#REF!</v>
      </c>
      <c r="L35" s="6" t="e">
        <f>Revenue!J12*L15</f>
        <v>#REF!</v>
      </c>
      <c r="M35" s="6" t="e">
        <f>Revenue!K12*M15</f>
        <v>#REF!</v>
      </c>
      <c r="N35" s="6" t="e">
        <f>Revenue!L12*N15</f>
        <v>#REF!</v>
      </c>
      <c r="O35" s="6" t="e">
        <f>Revenue!M12*O15</f>
        <v>#REF!</v>
      </c>
      <c r="P35" s="6" t="e">
        <f>Revenue!N12*P15</f>
        <v>#REF!</v>
      </c>
      <c r="Q35" s="6" t="e">
        <f>Revenue!O12*Q15</f>
        <v>#REF!</v>
      </c>
      <c r="R35" s="155"/>
    </row>
    <row r="36" spans="1:28" s="2" customFormat="1" x14ac:dyDescent="0.25">
      <c r="A36" s="16"/>
      <c r="B36" s="127" t="s">
        <v>203</v>
      </c>
      <c r="D36" s="90">
        <v>72</v>
      </c>
      <c r="F36" s="107" t="e">
        <f t="shared" ref="F36:Q36" si="15">$D36*F$169</f>
        <v>#REF!</v>
      </c>
      <c r="G36" s="107" t="e">
        <f t="shared" si="15"/>
        <v>#REF!</v>
      </c>
      <c r="H36" s="107" t="e">
        <f t="shared" si="15"/>
        <v>#REF!</v>
      </c>
      <c r="I36" s="107" t="e">
        <f t="shared" si="15"/>
        <v>#REF!</v>
      </c>
      <c r="J36" s="107" t="e">
        <f t="shared" si="15"/>
        <v>#REF!</v>
      </c>
      <c r="K36" s="107" t="e">
        <f t="shared" si="15"/>
        <v>#REF!</v>
      </c>
      <c r="L36" s="107" t="e">
        <f t="shared" si="15"/>
        <v>#REF!</v>
      </c>
      <c r="M36" s="107" t="e">
        <f t="shared" si="15"/>
        <v>#REF!</v>
      </c>
      <c r="N36" s="107" t="e">
        <f t="shared" si="15"/>
        <v>#REF!</v>
      </c>
      <c r="O36" s="107" t="e">
        <f t="shared" si="15"/>
        <v>#REF!</v>
      </c>
      <c r="P36" s="107" t="e">
        <f t="shared" si="15"/>
        <v>#REF!</v>
      </c>
      <c r="Q36" s="107" t="e">
        <f t="shared" si="15"/>
        <v>#REF!</v>
      </c>
      <c r="R36" s="155"/>
    </row>
    <row r="37" spans="1:28" s="2" customFormat="1" x14ac:dyDescent="0.25">
      <c r="A37" s="16"/>
      <c r="B37" s="127" t="s">
        <v>205</v>
      </c>
      <c r="F37" s="6" t="e">
        <f>Revenue!#REF!*F15</f>
        <v>#REF!</v>
      </c>
      <c r="G37" s="6" t="e">
        <f>Revenue!#REF!*G15</f>
        <v>#REF!</v>
      </c>
      <c r="H37" s="6" t="e">
        <f>Revenue!#REF!*H15</f>
        <v>#REF!</v>
      </c>
      <c r="I37" s="6" t="e">
        <f>Revenue!#REF!*I15</f>
        <v>#REF!</v>
      </c>
      <c r="J37" s="6" t="e">
        <f>Revenue!#REF!*J15</f>
        <v>#REF!</v>
      </c>
      <c r="K37" s="6" t="e">
        <f>Revenue!#REF!*K15</f>
        <v>#REF!</v>
      </c>
      <c r="L37" s="6" t="e">
        <f>Revenue!#REF!*L15</f>
        <v>#REF!</v>
      </c>
      <c r="M37" s="6" t="e">
        <f>Revenue!#REF!*M15</f>
        <v>#REF!</v>
      </c>
      <c r="N37" s="6" t="e">
        <f>Revenue!#REF!*N15</f>
        <v>#REF!</v>
      </c>
      <c r="O37" s="6" t="e">
        <f>Revenue!#REF!*O15</f>
        <v>#REF!</v>
      </c>
      <c r="P37" s="6" t="e">
        <f>Revenue!#REF!*P15</f>
        <v>#REF!</v>
      </c>
      <c r="Q37" s="6" t="e">
        <f>Revenue!#REF!*Q15</f>
        <v>#REF!</v>
      </c>
      <c r="R37" s="155"/>
    </row>
    <row r="38" spans="1:28" s="2" customFormat="1" x14ac:dyDescent="0.25">
      <c r="A38" s="16"/>
      <c r="B38" s="2" t="s">
        <v>138</v>
      </c>
      <c r="F38" s="6" t="e">
        <f>F15*Revenue!#REF!</f>
        <v>#REF!</v>
      </c>
      <c r="G38" s="6" t="e">
        <f>G15*Revenue!#REF!</f>
        <v>#REF!</v>
      </c>
      <c r="H38" s="6" t="e">
        <f>H15*Revenue!#REF!</f>
        <v>#REF!</v>
      </c>
      <c r="I38" s="6" t="e">
        <f>I15*Revenue!#REF!</f>
        <v>#REF!</v>
      </c>
      <c r="J38" s="6" t="e">
        <f>J15*Revenue!#REF!</f>
        <v>#REF!</v>
      </c>
      <c r="K38" s="6" t="e">
        <f>K15*Revenue!#REF!</f>
        <v>#REF!</v>
      </c>
      <c r="L38" s="6" t="e">
        <f>L15*Revenue!#REF!</f>
        <v>#REF!</v>
      </c>
      <c r="M38" s="6" t="e">
        <f>M15*Revenue!#REF!</f>
        <v>#REF!</v>
      </c>
      <c r="N38" s="6" t="e">
        <f>N15*Revenue!#REF!</f>
        <v>#REF!</v>
      </c>
      <c r="O38" s="6" t="e">
        <f>O15*Revenue!#REF!</f>
        <v>#REF!</v>
      </c>
      <c r="P38" s="6" t="e">
        <f>P15*Revenue!#REF!</f>
        <v>#REF!</v>
      </c>
      <c r="Q38" s="6" t="e">
        <f>Q15*Revenue!#REF!</f>
        <v>#REF!</v>
      </c>
      <c r="R38" s="155"/>
    </row>
    <row r="39" spans="1:28" s="2" customFormat="1" x14ac:dyDescent="0.25">
      <c r="A39" s="16"/>
      <c r="B39" s="2" t="s">
        <v>139</v>
      </c>
      <c r="F39" s="6" t="e">
        <f>((E16+E18)+((E16+E18)-(E15*0.5))*0.5)*Revenue!#REF!</f>
        <v>#REF!</v>
      </c>
      <c r="G39" s="6" t="e">
        <f>((F16+F18)+((F16+F18)-(F15*0.5))*0.5)*Revenue!#REF!</f>
        <v>#REF!</v>
      </c>
      <c r="H39" s="6" t="e">
        <f>((G16+G18)+((G16+G18)-(G15*0.5))*0.5)*Revenue!#REF!</f>
        <v>#REF!</v>
      </c>
      <c r="I39" s="6" t="e">
        <f>((H16+H18)+((H16+H18)-(H15*0.5))*0.5)*Revenue!#REF!</f>
        <v>#REF!</v>
      </c>
      <c r="J39" s="6" t="e">
        <f>((I16+I18)+((I16+I18)-(I15*0.5))*0.5)*Revenue!#REF!</f>
        <v>#REF!</v>
      </c>
      <c r="K39" s="6" t="e">
        <f>((J16+J18)+((J16+J18)-(J15*0.5))*0.5)*Revenue!#REF!</f>
        <v>#REF!</v>
      </c>
      <c r="L39" s="6" t="e">
        <f>((K16+K18)+((K16+K18)-(K15*0.5))*0.5)*Revenue!#REF!</f>
        <v>#REF!</v>
      </c>
      <c r="M39" s="6" t="e">
        <f>((L16+L18)+((L16+L18)-(L15*0.5))*0.5)*Revenue!#REF!</f>
        <v>#REF!</v>
      </c>
      <c r="N39" s="6" t="e">
        <f>((M16+M18)+((M16+M18)-(M15*0.5))*0.5)*Revenue!#REF!</f>
        <v>#REF!</v>
      </c>
      <c r="O39" s="6" t="e">
        <f>((N16+N18)+((N16+N18)-(N15*0.5))*0.5)*Revenue!#REF!</f>
        <v>#REF!</v>
      </c>
      <c r="P39" s="6" t="e">
        <f>((O16+O18)+((O16+O18)-(O15*0.5))*0.5)*Revenue!#REF!</f>
        <v>#REF!</v>
      </c>
      <c r="Q39" s="6" t="e">
        <f>((P16+P18)+((P16+P18)-(P15*0.5))*0.5)*Revenue!#REF!</f>
        <v>#REF!</v>
      </c>
      <c r="R39" s="155"/>
    </row>
    <row r="40" spans="1:28" s="2" customFormat="1" x14ac:dyDescent="0.25">
      <c r="A40" s="16"/>
      <c r="B40" s="2" t="s">
        <v>211</v>
      </c>
      <c r="F40"/>
      <c r="G40"/>
      <c r="H40"/>
      <c r="I40"/>
      <c r="J40"/>
      <c r="K40" s="6"/>
      <c r="L40" s="31" t="e">
        <f>+MIN(L15*Revenue!J15,0.75*L106)</f>
        <v>#REF!</v>
      </c>
      <c r="M40" s="31" t="e">
        <f>+MIN(M15*Revenue!K15,0.75*M106)</f>
        <v>#REF!</v>
      </c>
      <c r="N40" s="31" t="e">
        <f>+MIN(N15*Revenue!L15,0.75*N106)</f>
        <v>#REF!</v>
      </c>
      <c r="O40" s="31" t="e">
        <f>+MIN(O15*Revenue!M15,0.75*O106)</f>
        <v>#REF!</v>
      </c>
      <c r="P40" s="31" t="e">
        <f>+MIN(P15*Revenue!N15,0.75*P106)</f>
        <v>#REF!</v>
      </c>
      <c r="Q40" s="31" t="e">
        <f>+MIN(Q15*Revenue!O15,0.75*Q106)</f>
        <v>#REF!</v>
      </c>
      <c r="R40" s="155"/>
    </row>
    <row r="41" spans="1:28" s="2" customFormat="1" x14ac:dyDescent="0.25">
      <c r="A41" s="16"/>
      <c r="B41" s="127" t="s">
        <v>207</v>
      </c>
      <c r="F41" s="6" t="e">
        <f>F15*Revenue!D14</f>
        <v>#REF!</v>
      </c>
      <c r="G41" s="6" t="e">
        <f>G15*Revenue!E14</f>
        <v>#REF!</v>
      </c>
      <c r="H41" s="6" t="e">
        <f>H15*Revenue!F14</f>
        <v>#REF!</v>
      </c>
      <c r="I41" s="6" t="e">
        <f>I15*Revenue!G14</f>
        <v>#REF!</v>
      </c>
      <c r="J41" s="6" t="e">
        <f>J15*Revenue!H14</f>
        <v>#REF!</v>
      </c>
      <c r="K41" s="6" t="e">
        <f>K15*Revenue!I14</f>
        <v>#REF!</v>
      </c>
      <c r="L41" s="6" t="e">
        <f>L15*Revenue!J14</f>
        <v>#REF!</v>
      </c>
      <c r="M41" s="6" t="e">
        <f>M15*Revenue!K14</f>
        <v>#REF!</v>
      </c>
      <c r="N41" s="6" t="e">
        <f>N15*Revenue!L14</f>
        <v>#REF!</v>
      </c>
      <c r="O41" s="6" t="e">
        <f>O15*Revenue!M14</f>
        <v>#REF!</v>
      </c>
      <c r="P41" s="6" t="e">
        <f>P15*Revenue!N14</f>
        <v>#REF!</v>
      </c>
      <c r="Q41" s="6" t="e">
        <f>Q15*Revenue!O14</f>
        <v>#REF!</v>
      </c>
      <c r="R41" s="155"/>
    </row>
    <row r="42" spans="1:28" s="2" customFormat="1" x14ac:dyDescent="0.25">
      <c r="A42" s="16"/>
      <c r="B42" s="2" t="s">
        <v>206</v>
      </c>
      <c r="C42" s="2" t="s">
        <v>276</v>
      </c>
      <c r="F42" s="135">
        <f>F65</f>
        <v>0</v>
      </c>
      <c r="G42" s="135">
        <f t="shared" ref="G42:Q42" si="16">G65</f>
        <v>0</v>
      </c>
      <c r="H42" s="135">
        <f t="shared" si="16"/>
        <v>0</v>
      </c>
      <c r="I42" s="135">
        <f t="shared" si="16"/>
        <v>0</v>
      </c>
      <c r="J42" s="135">
        <f t="shared" si="16"/>
        <v>0</v>
      </c>
      <c r="K42" s="135">
        <f t="shared" si="16"/>
        <v>0</v>
      </c>
      <c r="L42" s="135">
        <f t="shared" si="16"/>
        <v>0</v>
      </c>
      <c r="M42" s="135">
        <f t="shared" si="16"/>
        <v>0</v>
      </c>
      <c r="N42" s="135">
        <f t="shared" si="16"/>
        <v>0</v>
      </c>
      <c r="O42" s="135">
        <f t="shared" si="16"/>
        <v>0</v>
      </c>
      <c r="P42" s="135">
        <f t="shared" si="16"/>
        <v>0</v>
      </c>
      <c r="Q42" s="135">
        <f t="shared" si="16"/>
        <v>0</v>
      </c>
    </row>
    <row r="43" spans="1:28" s="2" customFormat="1" x14ac:dyDescent="0.25">
      <c r="A43" s="16"/>
      <c r="B43" s="2" t="s">
        <v>208</v>
      </c>
      <c r="F43" s="140" t="e">
        <f t="shared" ref="F43:Q43" si="17">SUM(F35:F42)</f>
        <v>#REF!</v>
      </c>
      <c r="G43" s="140" t="e">
        <f t="shared" si="17"/>
        <v>#REF!</v>
      </c>
      <c r="H43" s="140" t="e">
        <f t="shared" si="17"/>
        <v>#REF!</v>
      </c>
      <c r="I43" s="140" t="e">
        <f t="shared" si="17"/>
        <v>#REF!</v>
      </c>
      <c r="J43" s="140" t="e">
        <f t="shared" si="17"/>
        <v>#REF!</v>
      </c>
      <c r="K43" s="140" t="e">
        <f t="shared" si="17"/>
        <v>#REF!</v>
      </c>
      <c r="L43" s="140" t="e">
        <f t="shared" si="17"/>
        <v>#REF!</v>
      </c>
      <c r="M43" s="140" t="e">
        <f t="shared" si="17"/>
        <v>#REF!</v>
      </c>
      <c r="N43" s="140" t="e">
        <f t="shared" si="17"/>
        <v>#REF!</v>
      </c>
      <c r="O43" s="140" t="e">
        <f t="shared" si="17"/>
        <v>#REF!</v>
      </c>
      <c r="P43" s="140" t="e">
        <f t="shared" si="17"/>
        <v>#REF!</v>
      </c>
      <c r="Q43" s="140" t="e">
        <f t="shared" si="17"/>
        <v>#REF!</v>
      </c>
    </row>
    <row r="44" spans="1:28" s="113" customFormat="1" x14ac:dyDescent="0.25">
      <c r="A44" s="30" t="s">
        <v>263</v>
      </c>
      <c r="B44"/>
      <c r="C44"/>
      <c r="D44" s="2"/>
      <c r="E44" s="2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28" s="113" customFormat="1" x14ac:dyDescent="0.25">
      <c r="A45" s="30"/>
      <c r="B45" t="s">
        <v>257</v>
      </c>
      <c r="C45"/>
      <c r="D45" s="2"/>
      <c r="E45" s="2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28" s="113" customFormat="1" x14ac:dyDescent="0.25">
      <c r="A46" s="30"/>
      <c r="B46" t="s">
        <v>258</v>
      </c>
      <c r="C46"/>
      <c r="D46" s="2"/>
      <c r="E46" s="2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28" s="113" customFormat="1" x14ac:dyDescent="0.25">
      <c r="A47" s="30"/>
      <c r="B47" t="s">
        <v>259</v>
      </c>
      <c r="C47"/>
      <c r="D47" s="2"/>
      <c r="E47" s="2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28" s="113" customFormat="1" x14ac:dyDescent="0.25">
      <c r="A48" s="30"/>
      <c r="B48"/>
      <c r="C48" s="83" t="s">
        <v>273</v>
      </c>
      <c r="D48" s="2"/>
      <c r="E48" s="2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s="113" customFormat="1" x14ac:dyDescent="0.25">
      <c r="A49" s="30"/>
      <c r="B49"/>
      <c r="C49" s="83" t="s">
        <v>274</v>
      </c>
      <c r="D49" s="2"/>
      <c r="E49" s="2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s="113" customFormat="1" x14ac:dyDescent="0.25">
      <c r="A50" s="30"/>
      <c r="B50" t="s">
        <v>260</v>
      </c>
      <c r="C50"/>
      <c r="D50" s="2"/>
      <c r="E50" s="2"/>
      <c r="F50" s="141">
        <f>SUM(F48:F49)</f>
        <v>0</v>
      </c>
      <c r="G50" s="141">
        <f t="shared" ref="G50:Q50" si="18">SUM(G48:G49)</f>
        <v>0</v>
      </c>
      <c r="H50" s="141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</row>
    <row r="51" spans="1:17" s="113" customFormat="1" x14ac:dyDescent="0.25">
      <c r="A51" s="30"/>
      <c r="B51" t="s">
        <v>261</v>
      </c>
      <c r="C51" s="83" t="s">
        <v>262</v>
      </c>
      <c r="D51" s="2"/>
      <c r="E51" s="20" t="e">
        <f>#REF!</f>
        <v>#REF!</v>
      </c>
      <c r="F51" s="135" t="e">
        <f t="shared" ref="F51:Q51" si="19">$E51*F$169</f>
        <v>#REF!</v>
      </c>
      <c r="G51" s="135" t="e">
        <f t="shared" si="19"/>
        <v>#REF!</v>
      </c>
      <c r="H51" s="135" t="e">
        <f t="shared" si="19"/>
        <v>#REF!</v>
      </c>
      <c r="I51" s="135" t="e">
        <f t="shared" si="19"/>
        <v>#REF!</v>
      </c>
      <c r="J51" s="135" t="e">
        <f t="shared" si="19"/>
        <v>#REF!</v>
      </c>
      <c r="K51" s="135" t="e">
        <f t="shared" si="19"/>
        <v>#REF!</v>
      </c>
      <c r="L51" s="135" t="e">
        <f t="shared" si="19"/>
        <v>#REF!</v>
      </c>
      <c r="M51" s="135" t="e">
        <f t="shared" si="19"/>
        <v>#REF!</v>
      </c>
      <c r="N51" s="135" t="e">
        <f t="shared" si="19"/>
        <v>#REF!</v>
      </c>
      <c r="O51" s="135" t="e">
        <f t="shared" si="19"/>
        <v>#REF!</v>
      </c>
      <c r="P51" s="135" t="e">
        <f t="shared" si="19"/>
        <v>#REF!</v>
      </c>
      <c r="Q51" s="135" t="e">
        <f t="shared" si="19"/>
        <v>#REF!</v>
      </c>
    </row>
    <row r="52" spans="1:17" s="113" customFormat="1" x14ac:dyDescent="0.25">
      <c r="A52" s="30"/>
      <c r="B52" t="s">
        <v>275</v>
      </c>
      <c r="C52"/>
      <c r="D52" s="2"/>
      <c r="E52" s="2"/>
      <c r="F52" s="141" t="e">
        <f>F51+F50+SUM(F45:F47)</f>
        <v>#REF!</v>
      </c>
      <c r="G52" s="141" t="e">
        <f t="shared" ref="G52:Q52" si="20">G51+G50+SUM(G45:G47)</f>
        <v>#REF!</v>
      </c>
      <c r="H52" s="141" t="e">
        <f t="shared" si="20"/>
        <v>#REF!</v>
      </c>
      <c r="I52" s="141" t="e">
        <f t="shared" si="20"/>
        <v>#REF!</v>
      </c>
      <c r="J52" s="141" t="e">
        <f t="shared" si="20"/>
        <v>#REF!</v>
      </c>
      <c r="K52" s="141" t="e">
        <f t="shared" si="20"/>
        <v>#REF!</v>
      </c>
      <c r="L52" s="141" t="e">
        <f t="shared" si="20"/>
        <v>#REF!</v>
      </c>
      <c r="M52" s="141" t="e">
        <f t="shared" si="20"/>
        <v>#REF!</v>
      </c>
      <c r="N52" s="141" t="e">
        <f t="shared" si="20"/>
        <v>#REF!</v>
      </c>
      <c r="O52" s="141" t="e">
        <f t="shared" si="20"/>
        <v>#REF!</v>
      </c>
      <c r="P52" s="141" t="e">
        <f t="shared" si="20"/>
        <v>#REF!</v>
      </c>
      <c r="Q52" s="141" t="e">
        <f t="shared" si="20"/>
        <v>#REF!</v>
      </c>
    </row>
    <row r="53" spans="1:17" s="2" customFormat="1" ht="15.75" thickBot="1" x14ac:dyDescent="0.3">
      <c r="A53" s="16" t="s">
        <v>210</v>
      </c>
      <c r="F53" s="131" t="e">
        <f t="shared" ref="F53:Q53" si="21">F33+F43+F25+F52</f>
        <v>#REF!</v>
      </c>
      <c r="G53" s="131" t="e">
        <f t="shared" si="21"/>
        <v>#REF!</v>
      </c>
      <c r="H53" s="131" t="e">
        <f t="shared" si="21"/>
        <v>#REF!</v>
      </c>
      <c r="I53" s="131" t="e">
        <f t="shared" si="21"/>
        <v>#REF!</v>
      </c>
      <c r="J53" s="131" t="e">
        <f t="shared" si="21"/>
        <v>#REF!</v>
      </c>
      <c r="K53" s="131" t="e">
        <f t="shared" si="21"/>
        <v>#REF!</v>
      </c>
      <c r="L53" s="131" t="e">
        <f t="shared" si="21"/>
        <v>#REF!</v>
      </c>
      <c r="M53" s="131" t="e">
        <f t="shared" si="21"/>
        <v>#REF!</v>
      </c>
      <c r="N53" s="131" t="e">
        <f t="shared" si="21"/>
        <v>#REF!</v>
      </c>
      <c r="O53" s="131" t="e">
        <f t="shared" si="21"/>
        <v>#REF!</v>
      </c>
      <c r="P53" s="131" t="e">
        <f t="shared" si="21"/>
        <v>#REF!</v>
      </c>
      <c r="Q53" s="131" t="e">
        <f t="shared" si="21"/>
        <v>#REF!</v>
      </c>
    </row>
    <row r="54" spans="1:17" ht="15.75" thickTop="1" x14ac:dyDescent="0.25">
      <c r="A54"/>
      <c r="E54"/>
      <c r="F54" s="38"/>
      <c r="G54" s="39"/>
      <c r="H54" s="40"/>
      <c r="I54" s="38"/>
      <c r="J54" s="38"/>
      <c r="K54" s="143"/>
      <c r="L54" s="143"/>
      <c r="M54" s="143"/>
      <c r="N54" s="143"/>
      <c r="O54" s="143"/>
      <c r="P54" s="143"/>
      <c r="Q54" s="143"/>
    </row>
    <row r="55" spans="1:17" x14ac:dyDescent="0.25">
      <c r="A55" s="4" t="s">
        <v>24</v>
      </c>
      <c r="B55" s="4" t="s">
        <v>25</v>
      </c>
      <c r="E55"/>
      <c r="F55" s="3" t="s">
        <v>0</v>
      </c>
      <c r="G55" s="21" t="s">
        <v>1</v>
      </c>
      <c r="H55" s="22" t="s">
        <v>2</v>
      </c>
      <c r="I55" s="3" t="s">
        <v>3</v>
      </c>
      <c r="J55" s="3" t="s">
        <v>4</v>
      </c>
      <c r="K55" s="4" t="s">
        <v>5</v>
      </c>
      <c r="L55" s="4" t="s">
        <v>61</v>
      </c>
      <c r="M55" s="4" t="s">
        <v>62</v>
      </c>
      <c r="N55" s="4" t="s">
        <v>63</v>
      </c>
      <c r="O55" s="4" t="s">
        <v>64</v>
      </c>
      <c r="P55" s="4" t="s">
        <v>65</v>
      </c>
      <c r="Q55" s="4" t="s">
        <v>66</v>
      </c>
    </row>
    <row r="56" spans="1:17" outlineLevel="1" x14ac:dyDescent="0.25">
      <c r="A56" s="18">
        <v>1110</v>
      </c>
      <c r="B56" s="18" t="s">
        <v>19</v>
      </c>
      <c r="C56" s="18"/>
      <c r="D56" s="18"/>
      <c r="E56"/>
      <c r="F56" s="6" t="e">
        <f t="shared" ref="F56:Q56" si="22">SUMIFS(F$316:F$440,$A$316:$A$440,$A56)</f>
        <v>#REF!</v>
      </c>
      <c r="G56" s="6" t="e">
        <f t="shared" si="22"/>
        <v>#REF!</v>
      </c>
      <c r="H56" s="6" t="e">
        <f t="shared" si="22"/>
        <v>#REF!</v>
      </c>
      <c r="I56" s="6" t="e">
        <f t="shared" si="22"/>
        <v>#REF!</v>
      </c>
      <c r="J56" s="6" t="e">
        <f t="shared" si="22"/>
        <v>#REF!</v>
      </c>
      <c r="K56" s="6" t="e">
        <f t="shared" si="22"/>
        <v>#REF!</v>
      </c>
      <c r="L56" s="6" t="e">
        <f t="shared" si="22"/>
        <v>#REF!</v>
      </c>
      <c r="M56" s="6" t="e">
        <f t="shared" si="22"/>
        <v>#REF!</v>
      </c>
      <c r="N56" s="6" t="e">
        <f t="shared" si="22"/>
        <v>#REF!</v>
      </c>
      <c r="O56" s="6" t="e">
        <f t="shared" si="22"/>
        <v>#REF!</v>
      </c>
      <c r="P56" s="6" t="e">
        <f t="shared" si="22"/>
        <v>#REF!</v>
      </c>
      <c r="Q56" s="6" t="e">
        <f t="shared" si="22"/>
        <v>#REF!</v>
      </c>
    </row>
    <row r="57" spans="1:17" outlineLevel="1" x14ac:dyDescent="0.25">
      <c r="A57" s="18">
        <v>1175</v>
      </c>
      <c r="B57" s="18" t="s">
        <v>20</v>
      </c>
      <c r="C57" s="18"/>
      <c r="D57" s="18"/>
      <c r="E57"/>
      <c r="F57" s="31">
        <v>0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31" t="e">
        <f>#REF!</f>
        <v>#REF!</v>
      </c>
      <c r="K57" s="31" t="e">
        <f>#REF!</f>
        <v>#REF!</v>
      </c>
      <c r="L57" s="31" t="e">
        <f>#REF!</f>
        <v>#REF!</v>
      </c>
      <c r="M57" s="31" t="e">
        <f>#REF!</f>
        <v>#REF!</v>
      </c>
      <c r="N57" s="31" t="e">
        <f>#REF!</f>
        <v>#REF!</v>
      </c>
      <c r="O57" s="31" t="e">
        <f>#REF!</f>
        <v>#REF!</v>
      </c>
      <c r="P57" s="31" t="e">
        <f>#REF!</f>
        <v>#REF!</v>
      </c>
      <c r="Q57" s="31" t="e">
        <f>#REF!</f>
        <v>#REF!</v>
      </c>
    </row>
    <row r="58" spans="1:17" outlineLevel="1" x14ac:dyDescent="0.25">
      <c r="A58" s="18">
        <v>1300</v>
      </c>
      <c r="B58" s="18" t="s">
        <v>254</v>
      </c>
      <c r="C58" s="18"/>
      <c r="D58" s="18"/>
      <c r="E58"/>
      <c r="F58" s="6" t="e">
        <f t="shared" ref="F58:Q58" si="23">SUMIFS(F$316:F$440,$A$316:$A$440,$A58)</f>
        <v>#REF!</v>
      </c>
      <c r="G58" s="6" t="e">
        <f t="shared" si="23"/>
        <v>#REF!</v>
      </c>
      <c r="H58" s="6" t="e">
        <f t="shared" si="23"/>
        <v>#REF!</v>
      </c>
      <c r="I58" s="6" t="e">
        <f t="shared" si="23"/>
        <v>#REF!</v>
      </c>
      <c r="J58" s="6" t="e">
        <f t="shared" si="23"/>
        <v>#REF!</v>
      </c>
      <c r="K58" s="6" t="e">
        <f t="shared" si="23"/>
        <v>#REF!</v>
      </c>
      <c r="L58" s="6" t="e">
        <f t="shared" si="23"/>
        <v>#REF!</v>
      </c>
      <c r="M58" s="6" t="e">
        <f t="shared" si="23"/>
        <v>#REF!</v>
      </c>
      <c r="N58" s="6" t="e">
        <f t="shared" si="23"/>
        <v>#REF!</v>
      </c>
      <c r="O58" s="6" t="e">
        <f t="shared" si="23"/>
        <v>#REF!</v>
      </c>
      <c r="P58" s="6" t="e">
        <f t="shared" si="23"/>
        <v>#REF!</v>
      </c>
      <c r="Q58" s="6" t="e">
        <f t="shared" si="23"/>
        <v>#REF!</v>
      </c>
    </row>
    <row r="59" spans="1:17" outlineLevel="1" x14ac:dyDescent="0.25">
      <c r="A59" s="18">
        <v>2100</v>
      </c>
      <c r="B59" s="18" t="s">
        <v>21</v>
      </c>
      <c r="C59" s="18"/>
      <c r="D59" s="18"/>
      <c r="E59"/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</row>
    <row r="60" spans="1:17" x14ac:dyDescent="0.25">
      <c r="A60" s="18">
        <v>100</v>
      </c>
      <c r="B60" s="18" t="s">
        <v>134</v>
      </c>
      <c r="C60" s="18"/>
      <c r="D60" s="18"/>
      <c r="E60"/>
      <c r="F60" s="31" t="e">
        <f>SUM(F56:F59)</f>
        <v>#REF!</v>
      </c>
      <c r="G60" s="31" t="e">
        <f t="shared" ref="G60:Q60" si="24">SUM(G56:G59)</f>
        <v>#REF!</v>
      </c>
      <c r="H60" s="31" t="e">
        <f t="shared" si="24"/>
        <v>#REF!</v>
      </c>
      <c r="I60" s="31" t="e">
        <f t="shared" si="24"/>
        <v>#REF!</v>
      </c>
      <c r="J60" s="31" t="e">
        <f t="shared" si="24"/>
        <v>#REF!</v>
      </c>
      <c r="K60" s="31" t="e">
        <f t="shared" si="24"/>
        <v>#REF!</v>
      </c>
      <c r="L60" s="31" t="e">
        <f t="shared" si="24"/>
        <v>#REF!</v>
      </c>
      <c r="M60" s="31" t="e">
        <f t="shared" si="24"/>
        <v>#REF!</v>
      </c>
      <c r="N60" s="31" t="e">
        <f t="shared" si="24"/>
        <v>#REF!</v>
      </c>
      <c r="O60" s="31" t="e">
        <f t="shared" si="24"/>
        <v>#REF!</v>
      </c>
      <c r="P60" s="31" t="e">
        <f t="shared" si="24"/>
        <v>#REF!</v>
      </c>
      <c r="Q60" s="31" t="e">
        <f t="shared" si="24"/>
        <v>#REF!</v>
      </c>
    </row>
    <row r="61" spans="1:17" outlineLevel="1" x14ac:dyDescent="0.25">
      <c r="A61" s="18"/>
      <c r="B61" s="18"/>
      <c r="C61" s="18"/>
      <c r="D61" s="18"/>
      <c r="E6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outlineLevel="1" x14ac:dyDescent="0.25">
      <c r="A62" s="18">
        <v>2200</v>
      </c>
      <c r="B62" s="18" t="s">
        <v>22</v>
      </c>
      <c r="C62" s="18"/>
      <c r="D62" s="18"/>
      <c r="E62"/>
      <c r="F62" s="6">
        <f t="shared" ref="F62:Q65" si="25">SUMIFS(F$316:F$440,$A$316:$A$440,$A62)</f>
        <v>0</v>
      </c>
      <c r="G62" s="6">
        <f t="shared" si="25"/>
        <v>0</v>
      </c>
      <c r="H62" s="6">
        <f t="shared" si="25"/>
        <v>0</v>
      </c>
      <c r="I62" s="6">
        <f t="shared" si="25"/>
        <v>0</v>
      </c>
      <c r="J62" s="6">
        <f t="shared" si="25"/>
        <v>0</v>
      </c>
      <c r="K62" s="6">
        <f t="shared" si="25"/>
        <v>25552.800000000003</v>
      </c>
      <c r="L62" s="6">
        <f t="shared" si="25"/>
        <v>32532.500000000007</v>
      </c>
      <c r="M62" s="6">
        <f t="shared" si="25"/>
        <v>52998.400000000001</v>
      </c>
      <c r="N62" s="6">
        <f t="shared" si="25"/>
        <v>67431</v>
      </c>
      <c r="O62" s="6">
        <f t="shared" si="25"/>
        <v>68614</v>
      </c>
      <c r="P62" s="6">
        <f t="shared" si="25"/>
        <v>69797</v>
      </c>
      <c r="Q62" s="6">
        <f t="shared" si="25"/>
        <v>70980</v>
      </c>
    </row>
    <row r="63" spans="1:17" outlineLevel="1" x14ac:dyDescent="0.25">
      <c r="A63" s="18">
        <v>2300</v>
      </c>
      <c r="B63" s="18" t="s">
        <v>253</v>
      </c>
      <c r="C63" s="18"/>
      <c r="D63" s="18"/>
      <c r="E63"/>
      <c r="F63" s="6" t="e">
        <f t="shared" si="25"/>
        <v>#REF!</v>
      </c>
      <c r="G63" s="6" t="e">
        <f t="shared" si="25"/>
        <v>#REF!</v>
      </c>
      <c r="H63" s="6" t="e">
        <f t="shared" si="25"/>
        <v>#REF!</v>
      </c>
      <c r="I63" s="6" t="e">
        <f t="shared" si="25"/>
        <v>#REF!</v>
      </c>
      <c r="J63" s="6" t="e">
        <f t="shared" si="25"/>
        <v>#REF!</v>
      </c>
      <c r="K63" s="6" t="e">
        <f t="shared" si="25"/>
        <v>#REF!</v>
      </c>
      <c r="L63" s="6" t="e">
        <f t="shared" si="25"/>
        <v>#REF!</v>
      </c>
      <c r="M63" s="6" t="e">
        <f t="shared" si="25"/>
        <v>#REF!</v>
      </c>
      <c r="N63" s="6" t="e">
        <f t="shared" si="25"/>
        <v>#REF!</v>
      </c>
      <c r="O63" s="6" t="e">
        <f t="shared" si="25"/>
        <v>#REF!</v>
      </c>
      <c r="P63" s="6" t="e">
        <f t="shared" si="25"/>
        <v>#REF!</v>
      </c>
      <c r="Q63" s="6" t="e">
        <f t="shared" si="25"/>
        <v>#REF!</v>
      </c>
    </row>
    <row r="64" spans="1:17" outlineLevel="1" x14ac:dyDescent="0.25">
      <c r="A64" s="18">
        <v>2400</v>
      </c>
      <c r="B64" s="18" t="s">
        <v>18</v>
      </c>
      <c r="C64" s="18"/>
      <c r="D64" s="18"/>
      <c r="E64"/>
      <c r="F64" s="6" t="e">
        <f t="shared" si="25"/>
        <v>#REF!</v>
      </c>
      <c r="G64" s="6" t="e">
        <f t="shared" si="25"/>
        <v>#REF!</v>
      </c>
      <c r="H64" s="6" t="e">
        <f t="shared" si="25"/>
        <v>#REF!</v>
      </c>
      <c r="I64" s="6" t="e">
        <f t="shared" si="25"/>
        <v>#REF!</v>
      </c>
      <c r="J64" s="6" t="e">
        <f t="shared" si="25"/>
        <v>#REF!</v>
      </c>
      <c r="K64" s="6" t="e">
        <f t="shared" si="25"/>
        <v>#REF!</v>
      </c>
      <c r="L64" s="6" t="e">
        <f t="shared" si="25"/>
        <v>#REF!</v>
      </c>
      <c r="M64" s="6" t="e">
        <f t="shared" si="25"/>
        <v>#REF!</v>
      </c>
      <c r="N64" s="6" t="e">
        <f t="shared" si="25"/>
        <v>#REF!</v>
      </c>
      <c r="O64" s="6" t="e">
        <f t="shared" si="25"/>
        <v>#REF!</v>
      </c>
      <c r="P64" s="6" t="e">
        <f t="shared" si="25"/>
        <v>#REF!</v>
      </c>
      <c r="Q64" s="6" t="e">
        <f t="shared" si="25"/>
        <v>#REF!</v>
      </c>
    </row>
    <row r="65" spans="1:17" outlineLevel="1" x14ac:dyDescent="0.25">
      <c r="A65" s="18">
        <v>2900</v>
      </c>
      <c r="B65" s="18" t="s">
        <v>23</v>
      </c>
      <c r="C65" s="18"/>
      <c r="D65" s="18"/>
      <c r="E65"/>
      <c r="F65" s="32">
        <f t="shared" si="25"/>
        <v>0</v>
      </c>
      <c r="G65" s="32">
        <f t="shared" si="25"/>
        <v>0</v>
      </c>
      <c r="H65" s="32">
        <f t="shared" si="25"/>
        <v>0</v>
      </c>
      <c r="I65" s="32">
        <f t="shared" si="25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</row>
    <row r="66" spans="1:17" x14ac:dyDescent="0.25">
      <c r="A66" s="18">
        <v>150</v>
      </c>
      <c r="B66" s="18" t="s">
        <v>135</v>
      </c>
      <c r="C66" s="18"/>
      <c r="D66" s="18"/>
      <c r="E66"/>
      <c r="F66" s="31" t="e">
        <f t="shared" ref="F66:Q66" si="26">SUM(F62:F65)</f>
        <v>#REF!</v>
      </c>
      <c r="G66" s="31" t="e">
        <f t="shared" si="26"/>
        <v>#REF!</v>
      </c>
      <c r="H66" s="31" t="e">
        <f t="shared" si="26"/>
        <v>#REF!</v>
      </c>
      <c r="I66" s="31" t="e">
        <f t="shared" si="26"/>
        <v>#REF!</v>
      </c>
      <c r="J66" s="31" t="e">
        <f t="shared" si="26"/>
        <v>#REF!</v>
      </c>
      <c r="K66" s="31" t="e">
        <f t="shared" si="26"/>
        <v>#REF!</v>
      </c>
      <c r="L66" s="31" t="e">
        <f t="shared" si="26"/>
        <v>#REF!</v>
      </c>
      <c r="M66" s="31" t="e">
        <f t="shared" si="26"/>
        <v>#REF!</v>
      </c>
      <c r="N66" s="31" t="e">
        <f t="shared" si="26"/>
        <v>#REF!</v>
      </c>
      <c r="O66" s="31" t="e">
        <f t="shared" si="26"/>
        <v>#REF!</v>
      </c>
      <c r="P66" s="31" t="e">
        <f t="shared" si="26"/>
        <v>#REF!</v>
      </c>
      <c r="Q66" s="31" t="e">
        <f t="shared" si="26"/>
        <v>#REF!</v>
      </c>
    </row>
    <row r="67" spans="1:17" outlineLevel="1" x14ac:dyDescent="0.25">
      <c r="A67"/>
      <c r="B67" s="18"/>
      <c r="C67" s="33"/>
      <c r="D67" s="33"/>
      <c r="E67"/>
      <c r="F67" s="31" t="e">
        <f t="shared" ref="F67:Q67" si="27">IF(F66+F60=F441,0,FALSE)</f>
        <v>#REF!</v>
      </c>
      <c r="G67" s="31" t="e">
        <f t="shared" si="27"/>
        <v>#REF!</v>
      </c>
      <c r="H67" s="31" t="e">
        <f t="shared" si="27"/>
        <v>#REF!</v>
      </c>
      <c r="I67" s="31" t="e">
        <f t="shared" si="27"/>
        <v>#REF!</v>
      </c>
      <c r="J67" s="31" t="e">
        <f t="shared" si="27"/>
        <v>#REF!</v>
      </c>
      <c r="K67" s="31" t="e">
        <f>IF(K66+K60=K441,0,FALSE)</f>
        <v>#REF!</v>
      </c>
      <c r="L67" s="31" t="e">
        <f t="shared" si="27"/>
        <v>#REF!</v>
      </c>
      <c r="M67" s="31" t="e">
        <f t="shared" si="27"/>
        <v>#REF!</v>
      </c>
      <c r="N67" s="31" t="e">
        <f t="shared" si="27"/>
        <v>#REF!</v>
      </c>
      <c r="O67" s="31" t="e">
        <f t="shared" si="27"/>
        <v>#REF!</v>
      </c>
      <c r="P67" s="31" t="e">
        <f t="shared" si="27"/>
        <v>#REF!</v>
      </c>
      <c r="Q67" s="31" t="e">
        <f t="shared" si="27"/>
        <v>#REF!</v>
      </c>
    </row>
    <row r="68" spans="1:17" outlineLevel="1" x14ac:dyDescent="0.25">
      <c r="A68" s="18">
        <v>3111</v>
      </c>
      <c r="B68" s="18" t="s">
        <v>29</v>
      </c>
      <c r="C68" s="34">
        <v>8.2500000000000004E-2</v>
      </c>
      <c r="D68" s="34"/>
      <c r="E68"/>
      <c r="F68" s="31" t="e">
        <f>F60*$C68</f>
        <v>#REF!</v>
      </c>
      <c r="G68" s="31" t="e">
        <f t="shared" ref="G68:Q68" si="28">G60*$C68</f>
        <v>#REF!</v>
      </c>
      <c r="H68" s="31" t="e">
        <f t="shared" si="28"/>
        <v>#REF!</v>
      </c>
      <c r="I68" s="31" t="e">
        <f t="shared" si="28"/>
        <v>#REF!</v>
      </c>
      <c r="J68" s="31" t="e">
        <f t="shared" si="28"/>
        <v>#REF!</v>
      </c>
      <c r="K68" s="31" t="e">
        <f t="shared" si="28"/>
        <v>#REF!</v>
      </c>
      <c r="L68" s="31" t="e">
        <f t="shared" si="28"/>
        <v>#REF!</v>
      </c>
      <c r="M68" s="31" t="e">
        <f t="shared" si="28"/>
        <v>#REF!</v>
      </c>
      <c r="N68" s="31" t="e">
        <f t="shared" si="28"/>
        <v>#REF!</v>
      </c>
      <c r="O68" s="31" t="e">
        <f t="shared" si="28"/>
        <v>#REF!</v>
      </c>
      <c r="P68" s="31" t="e">
        <f t="shared" si="28"/>
        <v>#REF!</v>
      </c>
      <c r="Q68" s="31" t="e">
        <f t="shared" si="28"/>
        <v>#REF!</v>
      </c>
    </row>
    <row r="69" spans="1:17" outlineLevel="1" x14ac:dyDescent="0.25">
      <c r="A69" s="18">
        <v>3311</v>
      </c>
      <c r="B69" s="18" t="s">
        <v>35</v>
      </c>
      <c r="C69" s="34">
        <v>6.2E-2</v>
      </c>
      <c r="D69" s="34"/>
      <c r="E69"/>
      <c r="F69" s="31" t="e">
        <f>F$66*$C69</f>
        <v>#REF!</v>
      </c>
      <c r="G69" s="31" t="e">
        <f t="shared" ref="G69:Q69" si="29">G$66*$C69</f>
        <v>#REF!</v>
      </c>
      <c r="H69" s="31" t="e">
        <f t="shared" si="29"/>
        <v>#REF!</v>
      </c>
      <c r="I69" s="31" t="e">
        <f t="shared" si="29"/>
        <v>#REF!</v>
      </c>
      <c r="J69" s="31" t="e">
        <f t="shared" si="29"/>
        <v>#REF!</v>
      </c>
      <c r="K69" s="31" t="e">
        <f t="shared" si="29"/>
        <v>#REF!</v>
      </c>
      <c r="L69" s="31" t="e">
        <f t="shared" si="29"/>
        <v>#REF!</v>
      </c>
      <c r="M69" s="31" t="e">
        <f t="shared" si="29"/>
        <v>#REF!</v>
      </c>
      <c r="N69" s="31" t="e">
        <f t="shared" si="29"/>
        <v>#REF!</v>
      </c>
      <c r="O69" s="31" t="e">
        <f t="shared" si="29"/>
        <v>#REF!</v>
      </c>
      <c r="P69" s="31" t="e">
        <f t="shared" si="29"/>
        <v>#REF!</v>
      </c>
      <c r="Q69" s="31" t="e">
        <f t="shared" si="29"/>
        <v>#REF!</v>
      </c>
    </row>
    <row r="70" spans="1:17" outlineLevel="1" x14ac:dyDescent="0.25">
      <c r="A70" s="18">
        <v>3331</v>
      </c>
      <c r="B70" s="18" t="s">
        <v>30</v>
      </c>
      <c r="C70" s="34">
        <v>1.4500000000000001E-2</v>
      </c>
      <c r="D70" s="34"/>
      <c r="E70"/>
      <c r="F70" s="31" t="e">
        <f>(F$60+F$66)*$C70</f>
        <v>#REF!</v>
      </c>
      <c r="G70" s="31" t="e">
        <f t="shared" ref="G70:Q70" si="30">(G$60+G$66)*$C70</f>
        <v>#REF!</v>
      </c>
      <c r="H70" s="31" t="e">
        <f t="shared" si="30"/>
        <v>#REF!</v>
      </c>
      <c r="I70" s="31" t="e">
        <f t="shared" si="30"/>
        <v>#REF!</v>
      </c>
      <c r="J70" s="31" t="e">
        <f t="shared" si="30"/>
        <v>#REF!</v>
      </c>
      <c r="K70" s="31" t="e">
        <f t="shared" si="30"/>
        <v>#REF!</v>
      </c>
      <c r="L70" s="31" t="e">
        <f t="shared" si="30"/>
        <v>#REF!</v>
      </c>
      <c r="M70" s="31" t="e">
        <f t="shared" si="30"/>
        <v>#REF!</v>
      </c>
      <c r="N70" s="31" t="e">
        <f t="shared" si="30"/>
        <v>#REF!</v>
      </c>
      <c r="O70" s="31" t="e">
        <f t="shared" si="30"/>
        <v>#REF!</v>
      </c>
      <c r="P70" s="31" t="e">
        <f t="shared" si="30"/>
        <v>#REF!</v>
      </c>
      <c r="Q70" s="31" t="e">
        <f t="shared" si="30"/>
        <v>#REF!</v>
      </c>
    </row>
    <row r="71" spans="1:17" outlineLevel="1" x14ac:dyDescent="0.25">
      <c r="A71" s="18">
        <v>3401</v>
      </c>
      <c r="B71" s="18" t="s">
        <v>31</v>
      </c>
      <c r="C71" s="35" t="e">
        <f>#REF!</f>
        <v>#REF!</v>
      </c>
      <c r="D71" s="35" t="s">
        <v>255</v>
      </c>
      <c r="E71"/>
      <c r="F71" s="31" t="e">
        <f t="shared" ref="F71:Q71" si="31">$C71*12*(1+F$6)*(F$184-F$182)</f>
        <v>#REF!</v>
      </c>
      <c r="G71" s="31" t="e">
        <f t="shared" si="31"/>
        <v>#REF!</v>
      </c>
      <c r="H71" s="31" t="e">
        <f t="shared" si="31"/>
        <v>#REF!</v>
      </c>
      <c r="I71" s="31" t="e">
        <f t="shared" si="31"/>
        <v>#REF!</v>
      </c>
      <c r="J71" s="31" t="e">
        <f t="shared" si="31"/>
        <v>#REF!</v>
      </c>
      <c r="K71" s="31" t="e">
        <f t="shared" si="31"/>
        <v>#REF!</v>
      </c>
      <c r="L71" s="31" t="e">
        <f t="shared" si="31"/>
        <v>#REF!</v>
      </c>
      <c r="M71" s="31" t="e">
        <f t="shared" si="31"/>
        <v>#REF!</v>
      </c>
      <c r="N71" s="31" t="e">
        <f t="shared" si="31"/>
        <v>#REF!</v>
      </c>
      <c r="O71" s="31" t="e">
        <f t="shared" si="31"/>
        <v>#REF!</v>
      </c>
      <c r="P71" s="31" t="e">
        <f t="shared" si="31"/>
        <v>#REF!</v>
      </c>
      <c r="Q71" s="31" t="e">
        <f t="shared" si="31"/>
        <v>#REF!</v>
      </c>
    </row>
    <row r="72" spans="1:17" outlineLevel="1" x14ac:dyDescent="0.25">
      <c r="A72" s="18">
        <v>3501</v>
      </c>
      <c r="B72" s="18" t="s">
        <v>32</v>
      </c>
      <c r="C72" s="34">
        <v>0.01</v>
      </c>
      <c r="D72" s="34"/>
      <c r="E72"/>
      <c r="F72" s="31" t="e">
        <f t="shared" ref="F72:Q73" si="32">(F$60+F$66)*$C72</f>
        <v>#REF!</v>
      </c>
      <c r="G72" s="31" t="e">
        <f t="shared" si="32"/>
        <v>#REF!</v>
      </c>
      <c r="H72" s="31" t="e">
        <f t="shared" si="32"/>
        <v>#REF!</v>
      </c>
      <c r="I72" s="31" t="e">
        <f t="shared" si="32"/>
        <v>#REF!</v>
      </c>
      <c r="J72" s="31" t="e">
        <f t="shared" si="32"/>
        <v>#REF!</v>
      </c>
      <c r="K72" s="31" t="e">
        <f t="shared" si="32"/>
        <v>#REF!</v>
      </c>
      <c r="L72" s="31" t="e">
        <f t="shared" si="32"/>
        <v>#REF!</v>
      </c>
      <c r="M72" s="31" t="e">
        <f t="shared" si="32"/>
        <v>#REF!</v>
      </c>
      <c r="N72" s="31" t="e">
        <f t="shared" si="32"/>
        <v>#REF!</v>
      </c>
      <c r="O72" s="31" t="e">
        <f t="shared" si="32"/>
        <v>#REF!</v>
      </c>
      <c r="P72" s="31" t="e">
        <f t="shared" si="32"/>
        <v>#REF!</v>
      </c>
      <c r="Q72" s="31" t="e">
        <f t="shared" si="32"/>
        <v>#REF!</v>
      </c>
    </row>
    <row r="73" spans="1:17" outlineLevel="1" x14ac:dyDescent="0.25">
      <c r="A73" s="18">
        <v>3601</v>
      </c>
      <c r="B73" s="18" t="s">
        <v>33</v>
      </c>
      <c r="C73" s="34">
        <v>2.4E-2</v>
      </c>
      <c r="D73" s="34"/>
      <c r="E73"/>
      <c r="F73" s="31" t="e">
        <f t="shared" si="32"/>
        <v>#REF!</v>
      </c>
      <c r="G73" s="31" t="e">
        <f t="shared" si="32"/>
        <v>#REF!</v>
      </c>
      <c r="H73" s="31" t="e">
        <f t="shared" si="32"/>
        <v>#REF!</v>
      </c>
      <c r="I73" s="31" t="e">
        <f t="shared" si="32"/>
        <v>#REF!</v>
      </c>
      <c r="J73" s="31" t="e">
        <f t="shared" si="32"/>
        <v>#REF!</v>
      </c>
      <c r="K73" s="31" t="e">
        <f t="shared" si="32"/>
        <v>#REF!</v>
      </c>
      <c r="L73" s="31" t="e">
        <f t="shared" si="32"/>
        <v>#REF!</v>
      </c>
      <c r="M73" s="31" t="e">
        <f t="shared" si="32"/>
        <v>#REF!</v>
      </c>
      <c r="N73" s="31" t="e">
        <f t="shared" si="32"/>
        <v>#REF!</v>
      </c>
      <c r="O73" s="31" t="e">
        <f t="shared" si="32"/>
        <v>#REF!</v>
      </c>
      <c r="P73" s="31" t="e">
        <f t="shared" si="32"/>
        <v>#REF!</v>
      </c>
      <c r="Q73" s="31" t="e">
        <f t="shared" si="32"/>
        <v>#REF!</v>
      </c>
    </row>
    <row r="74" spans="1:17" outlineLevel="1" x14ac:dyDescent="0.25">
      <c r="A74" s="18">
        <v>3901</v>
      </c>
      <c r="B74" s="18" t="s">
        <v>34</v>
      </c>
      <c r="C74" s="34">
        <v>0.03</v>
      </c>
      <c r="D74" s="34"/>
      <c r="E74"/>
      <c r="F74" s="52" t="e">
        <f>(F$66-F$62)*$C74</f>
        <v>#REF!</v>
      </c>
      <c r="G74" s="52" t="e">
        <f t="shared" ref="G74:Q74" si="33">(G$66-G$62)*$C74</f>
        <v>#REF!</v>
      </c>
      <c r="H74" s="52" t="e">
        <f t="shared" si="33"/>
        <v>#REF!</v>
      </c>
      <c r="I74" s="52" t="e">
        <f t="shared" si="33"/>
        <v>#REF!</v>
      </c>
      <c r="J74" s="52" t="e">
        <f t="shared" si="33"/>
        <v>#REF!</v>
      </c>
      <c r="K74" s="52" t="e">
        <f t="shared" si="33"/>
        <v>#REF!</v>
      </c>
      <c r="L74" s="52" t="e">
        <f t="shared" si="33"/>
        <v>#REF!</v>
      </c>
      <c r="M74" s="52" t="e">
        <f t="shared" si="33"/>
        <v>#REF!</v>
      </c>
      <c r="N74" s="52" t="e">
        <f t="shared" si="33"/>
        <v>#REF!</v>
      </c>
      <c r="O74" s="52" t="e">
        <f t="shared" si="33"/>
        <v>#REF!</v>
      </c>
      <c r="P74" s="52" t="e">
        <f t="shared" si="33"/>
        <v>#REF!</v>
      </c>
      <c r="Q74" s="52" t="e">
        <f t="shared" si="33"/>
        <v>#REF!</v>
      </c>
    </row>
    <row r="75" spans="1:17" x14ac:dyDescent="0.25">
      <c r="A75" s="18">
        <v>200</v>
      </c>
      <c r="B75" s="18" t="s">
        <v>106</v>
      </c>
      <c r="C75" s="18"/>
      <c r="D75" s="18"/>
      <c r="E75"/>
      <c r="F75" s="48" t="e">
        <f>SUM(F68:F74)</f>
        <v>#REF!</v>
      </c>
      <c r="G75" s="48" t="e">
        <f t="shared" ref="G75:Q75" si="34">SUM(G68:G74)</f>
        <v>#REF!</v>
      </c>
      <c r="H75" s="48" t="e">
        <f t="shared" si="34"/>
        <v>#REF!</v>
      </c>
      <c r="I75" s="48" t="e">
        <f t="shared" si="34"/>
        <v>#REF!</v>
      </c>
      <c r="J75" s="48" t="e">
        <f t="shared" si="34"/>
        <v>#REF!</v>
      </c>
      <c r="K75" s="48" t="e">
        <f t="shared" si="34"/>
        <v>#REF!</v>
      </c>
      <c r="L75" s="48" t="e">
        <f t="shared" si="34"/>
        <v>#REF!</v>
      </c>
      <c r="M75" s="48" t="e">
        <f t="shared" si="34"/>
        <v>#REF!</v>
      </c>
      <c r="N75" s="48" t="e">
        <f t="shared" si="34"/>
        <v>#REF!</v>
      </c>
      <c r="O75" s="48" t="e">
        <f t="shared" si="34"/>
        <v>#REF!</v>
      </c>
      <c r="P75" s="48" t="e">
        <f t="shared" si="34"/>
        <v>#REF!</v>
      </c>
      <c r="Q75" s="48" t="e">
        <f t="shared" si="34"/>
        <v>#REF!</v>
      </c>
    </row>
    <row r="76" spans="1:17" outlineLevel="1" x14ac:dyDescent="0.25">
      <c r="A76"/>
      <c r="B76" s="74" t="s">
        <v>37</v>
      </c>
      <c r="C76" t="s">
        <v>298</v>
      </c>
      <c r="D76" s="85">
        <v>175</v>
      </c>
      <c r="E76"/>
      <c r="F76" s="59" t="e">
        <f>$D76*F$169*(1+F$8)</f>
        <v>#REF!</v>
      </c>
      <c r="G76" s="59" t="e">
        <f t="shared" ref="G76:J77" si="35">$D76*(1+G$9)*IF((G$169-F$169)&gt;0,G$169-F$169,0)</f>
        <v>#REF!</v>
      </c>
      <c r="H76" s="59" t="e">
        <f t="shared" si="35"/>
        <v>#REF!</v>
      </c>
      <c r="I76" s="59" t="e">
        <f t="shared" si="35"/>
        <v>#REF!</v>
      </c>
      <c r="J76" s="59" t="e">
        <f t="shared" si="35"/>
        <v>#REF!</v>
      </c>
      <c r="K76" s="59" t="e">
        <f>$D76*(1+K$9)*IF((K$169-J$169)&gt;0,K$169-J$169,0)+(G$76*(1+K$9)*0.75)</f>
        <v>#REF!</v>
      </c>
      <c r="L76" s="59" t="e">
        <f t="shared" ref="L76:Q76" si="36">$D76*(1+L$9)*IF((L$169-K$169)&gt;0,L$169-K$169,0)+(H$76*(1+L$9)*0.75)</f>
        <v>#REF!</v>
      </c>
      <c r="M76" s="59" t="e">
        <f t="shared" si="36"/>
        <v>#REF!</v>
      </c>
      <c r="N76" s="59" t="e">
        <f t="shared" si="36"/>
        <v>#REF!</v>
      </c>
      <c r="O76" s="59" t="e">
        <f t="shared" si="36"/>
        <v>#REF!</v>
      </c>
      <c r="P76" s="59" t="e">
        <f t="shared" si="36"/>
        <v>#REF!</v>
      </c>
      <c r="Q76" s="59" t="e">
        <f t="shared" si="36"/>
        <v>#REF!</v>
      </c>
    </row>
    <row r="77" spans="1:17" outlineLevel="1" x14ac:dyDescent="0.25">
      <c r="A77"/>
      <c r="B77" s="18" t="s">
        <v>55</v>
      </c>
      <c r="C77" t="s">
        <v>298</v>
      </c>
      <c r="D77" s="85">
        <v>100</v>
      </c>
      <c r="E77"/>
      <c r="F77" s="59" t="e">
        <f>$D77*F$169*(1+F$8)</f>
        <v>#REF!</v>
      </c>
      <c r="G77" s="59" t="e">
        <f t="shared" si="35"/>
        <v>#REF!</v>
      </c>
      <c r="H77" s="59" t="e">
        <f t="shared" si="35"/>
        <v>#REF!</v>
      </c>
      <c r="I77" s="59" t="e">
        <f t="shared" si="35"/>
        <v>#REF!</v>
      </c>
      <c r="J77" s="59" t="e">
        <f t="shared" si="35"/>
        <v>#REF!</v>
      </c>
      <c r="K77" s="59" t="e">
        <f>$D77*(1+K$9)*IF((K$169-J$169)&gt;0,K$169-J$169,0)+(G$77*(1+K$9)*0.75)</f>
        <v>#REF!</v>
      </c>
      <c r="L77" s="59" t="e">
        <f t="shared" ref="L77:Q77" si="37">$D77*(1+L$9)*IF((L$169-K$169)&gt;0,L$169-K$169,0)+(H$77*(1+L$9)*0.75)</f>
        <v>#REF!</v>
      </c>
      <c r="M77" s="59" t="e">
        <f t="shared" si="37"/>
        <v>#REF!</v>
      </c>
      <c r="N77" s="59" t="e">
        <f t="shared" si="37"/>
        <v>#REF!</v>
      </c>
      <c r="O77" s="59" t="e">
        <f t="shared" si="37"/>
        <v>#REF!</v>
      </c>
      <c r="P77" s="59" t="e">
        <f t="shared" si="37"/>
        <v>#REF!</v>
      </c>
      <c r="Q77" s="59" t="e">
        <f t="shared" si="37"/>
        <v>#REF!</v>
      </c>
    </row>
    <row r="78" spans="1:17" outlineLevel="1" x14ac:dyDescent="0.25">
      <c r="A78"/>
      <c r="B78" s="18" t="s">
        <v>17</v>
      </c>
      <c r="C78" s="18" t="s">
        <v>17</v>
      </c>
      <c r="D78" s="85">
        <v>0</v>
      </c>
      <c r="E78"/>
      <c r="F78" s="59" t="e">
        <f t="shared" ref="F78:Q78" si="38">IF(F$169&gt;0,$D78*(1+F$9),0)</f>
        <v>#REF!</v>
      </c>
      <c r="G78" s="59" t="e">
        <f t="shared" si="38"/>
        <v>#REF!</v>
      </c>
      <c r="H78" s="59" t="e">
        <f t="shared" si="38"/>
        <v>#REF!</v>
      </c>
      <c r="I78" s="59" t="e">
        <f t="shared" si="38"/>
        <v>#REF!</v>
      </c>
      <c r="J78" s="59" t="e">
        <f t="shared" si="38"/>
        <v>#REF!</v>
      </c>
      <c r="K78" s="59" t="e">
        <f t="shared" si="38"/>
        <v>#REF!</v>
      </c>
      <c r="L78" s="59" t="e">
        <f t="shared" si="38"/>
        <v>#REF!</v>
      </c>
      <c r="M78" s="59" t="e">
        <f t="shared" si="38"/>
        <v>#REF!</v>
      </c>
      <c r="N78" s="59" t="e">
        <f t="shared" si="38"/>
        <v>#REF!</v>
      </c>
      <c r="O78" s="59" t="e">
        <f t="shared" si="38"/>
        <v>#REF!</v>
      </c>
      <c r="P78" s="59" t="e">
        <f t="shared" si="38"/>
        <v>#REF!</v>
      </c>
      <c r="Q78" s="59" t="e">
        <f t="shared" si="38"/>
        <v>#REF!</v>
      </c>
    </row>
    <row r="79" spans="1:17" outlineLevel="1" x14ac:dyDescent="0.25">
      <c r="A79"/>
      <c r="B79" s="18" t="s">
        <v>180</v>
      </c>
      <c r="C79" t="s">
        <v>94</v>
      </c>
      <c r="D79" s="85">
        <f>(75+100)/2</f>
        <v>87.5</v>
      </c>
      <c r="E79"/>
      <c r="F79" s="52" t="e">
        <f t="shared" ref="F79:Q79" si="39">$D79*F$169*(1+F$9)</f>
        <v>#REF!</v>
      </c>
      <c r="G79" s="52" t="e">
        <f t="shared" si="39"/>
        <v>#REF!</v>
      </c>
      <c r="H79" s="52" t="e">
        <f t="shared" si="39"/>
        <v>#REF!</v>
      </c>
      <c r="I79" s="52" t="e">
        <f t="shared" si="39"/>
        <v>#REF!</v>
      </c>
      <c r="J79" s="52" t="e">
        <f t="shared" si="39"/>
        <v>#REF!</v>
      </c>
      <c r="K79" s="52" t="e">
        <f t="shared" si="39"/>
        <v>#REF!</v>
      </c>
      <c r="L79" s="52" t="e">
        <f t="shared" si="39"/>
        <v>#REF!</v>
      </c>
      <c r="M79" s="52" t="e">
        <f t="shared" si="39"/>
        <v>#REF!</v>
      </c>
      <c r="N79" s="52" t="e">
        <f t="shared" si="39"/>
        <v>#REF!</v>
      </c>
      <c r="O79" s="52" t="e">
        <f t="shared" si="39"/>
        <v>#REF!</v>
      </c>
      <c r="P79" s="52" t="e">
        <f t="shared" si="39"/>
        <v>#REF!</v>
      </c>
      <c r="Q79" s="52" t="e">
        <f t="shared" si="39"/>
        <v>#REF!</v>
      </c>
    </row>
    <row r="80" spans="1:17" x14ac:dyDescent="0.25">
      <c r="A80">
        <v>300</v>
      </c>
      <c r="B80" s="18" t="s">
        <v>36</v>
      </c>
      <c r="D80" s="83"/>
      <c r="E80" s="48"/>
      <c r="F80" s="48" t="e">
        <f>SUM(F76:F79)</f>
        <v>#REF!</v>
      </c>
      <c r="G80" s="48" t="e">
        <f t="shared" ref="G80:Q80" si="40">SUM(G76:G79)</f>
        <v>#REF!</v>
      </c>
      <c r="H80" s="48" t="e">
        <f t="shared" si="40"/>
        <v>#REF!</v>
      </c>
      <c r="I80" s="48" t="e">
        <f t="shared" si="40"/>
        <v>#REF!</v>
      </c>
      <c r="J80" s="48" t="e">
        <f t="shared" si="40"/>
        <v>#REF!</v>
      </c>
      <c r="K80" s="48" t="e">
        <f t="shared" si="40"/>
        <v>#REF!</v>
      </c>
      <c r="L80" s="48" t="e">
        <f t="shared" si="40"/>
        <v>#REF!</v>
      </c>
      <c r="M80" s="48" t="e">
        <f t="shared" si="40"/>
        <v>#REF!</v>
      </c>
      <c r="N80" s="48" t="e">
        <f t="shared" si="40"/>
        <v>#REF!</v>
      </c>
      <c r="O80" s="48" t="e">
        <f t="shared" si="40"/>
        <v>#REF!</v>
      </c>
      <c r="P80" s="48" t="e">
        <f t="shared" si="40"/>
        <v>#REF!</v>
      </c>
      <c r="Q80" s="48" t="e">
        <f t="shared" si="40"/>
        <v>#REF!</v>
      </c>
    </row>
    <row r="81" spans="1:17" outlineLevel="1" x14ac:dyDescent="0.25">
      <c r="A81"/>
      <c r="B81" s="18" t="s">
        <v>40</v>
      </c>
      <c r="C81" s="85" t="s">
        <v>94</v>
      </c>
      <c r="D81" s="98">
        <v>50</v>
      </c>
      <c r="E81" s="48"/>
      <c r="F81" s="59" t="e">
        <f t="shared" ref="F81:Q82" si="41">$D81*F$169*(1+F$9)</f>
        <v>#REF!</v>
      </c>
      <c r="G81" s="59" t="e">
        <f t="shared" si="41"/>
        <v>#REF!</v>
      </c>
      <c r="H81" s="59" t="e">
        <f t="shared" si="41"/>
        <v>#REF!</v>
      </c>
      <c r="I81" s="59" t="e">
        <f t="shared" si="41"/>
        <v>#REF!</v>
      </c>
      <c r="J81" s="59" t="e">
        <f t="shared" si="41"/>
        <v>#REF!</v>
      </c>
      <c r="K81" s="59" t="e">
        <f t="shared" si="41"/>
        <v>#REF!</v>
      </c>
      <c r="L81" s="59" t="e">
        <f t="shared" si="41"/>
        <v>#REF!</v>
      </c>
      <c r="M81" s="59" t="e">
        <f t="shared" si="41"/>
        <v>#REF!</v>
      </c>
      <c r="N81" s="59" t="e">
        <f t="shared" si="41"/>
        <v>#REF!</v>
      </c>
      <c r="O81" s="59" t="e">
        <f t="shared" si="41"/>
        <v>#REF!</v>
      </c>
      <c r="P81" s="59" t="e">
        <f t="shared" si="41"/>
        <v>#REF!</v>
      </c>
      <c r="Q81" s="59" t="e">
        <f t="shared" si="41"/>
        <v>#REF!</v>
      </c>
    </row>
    <row r="82" spans="1:17" outlineLevel="1" x14ac:dyDescent="0.25">
      <c r="A82"/>
      <c r="B82" s="18" t="s">
        <v>41</v>
      </c>
      <c r="C82" s="85" t="s">
        <v>94</v>
      </c>
      <c r="D82" s="98">
        <v>0</v>
      </c>
      <c r="E82" s="48"/>
      <c r="F82" s="59" t="e">
        <f t="shared" si="41"/>
        <v>#REF!</v>
      </c>
      <c r="G82" s="59" t="e">
        <f t="shared" si="41"/>
        <v>#REF!</v>
      </c>
      <c r="H82" s="59" t="e">
        <f t="shared" si="41"/>
        <v>#REF!</v>
      </c>
      <c r="I82" s="59" t="e">
        <f t="shared" si="41"/>
        <v>#REF!</v>
      </c>
      <c r="J82" s="59" t="e">
        <f t="shared" si="41"/>
        <v>#REF!</v>
      </c>
      <c r="K82" s="59" t="e">
        <f t="shared" si="41"/>
        <v>#REF!</v>
      </c>
      <c r="L82" s="59" t="e">
        <f t="shared" si="41"/>
        <v>#REF!</v>
      </c>
      <c r="M82" s="59" t="e">
        <f t="shared" si="41"/>
        <v>#REF!</v>
      </c>
      <c r="N82" s="59" t="e">
        <f t="shared" si="41"/>
        <v>#REF!</v>
      </c>
      <c r="O82" s="59" t="e">
        <f t="shared" si="41"/>
        <v>#REF!</v>
      </c>
      <c r="P82" s="59" t="e">
        <f t="shared" si="41"/>
        <v>#REF!</v>
      </c>
      <c r="Q82" s="59" t="e">
        <f t="shared" si="41"/>
        <v>#REF!</v>
      </c>
    </row>
    <row r="83" spans="1:17" outlineLevel="1" x14ac:dyDescent="0.25">
      <c r="A83"/>
      <c r="B83" s="18" t="s">
        <v>95</v>
      </c>
      <c r="C83" s="85" t="s">
        <v>96</v>
      </c>
      <c r="D83" s="98">
        <v>200</v>
      </c>
      <c r="E83"/>
      <c r="F83" s="52" t="e">
        <f t="shared" ref="F83:Q83" si="42">IF(F$169&gt;0,$D83*(1+F$9),0)*12</f>
        <v>#REF!</v>
      </c>
      <c r="G83" s="52" t="e">
        <f t="shared" si="42"/>
        <v>#REF!</v>
      </c>
      <c r="H83" s="52" t="e">
        <f t="shared" si="42"/>
        <v>#REF!</v>
      </c>
      <c r="I83" s="52" t="e">
        <f t="shared" si="42"/>
        <v>#REF!</v>
      </c>
      <c r="J83" s="52" t="e">
        <f t="shared" si="42"/>
        <v>#REF!</v>
      </c>
      <c r="K83" s="52" t="e">
        <f t="shared" si="42"/>
        <v>#REF!</v>
      </c>
      <c r="L83" s="52" t="e">
        <f t="shared" si="42"/>
        <v>#REF!</v>
      </c>
      <c r="M83" s="52" t="e">
        <f t="shared" si="42"/>
        <v>#REF!</v>
      </c>
      <c r="N83" s="52" t="e">
        <f t="shared" si="42"/>
        <v>#REF!</v>
      </c>
      <c r="O83" s="52" t="e">
        <f t="shared" si="42"/>
        <v>#REF!</v>
      </c>
      <c r="P83" s="52" t="e">
        <f t="shared" si="42"/>
        <v>#REF!</v>
      </c>
      <c r="Q83" s="52" t="e">
        <f t="shared" si="42"/>
        <v>#REF!</v>
      </c>
    </row>
    <row r="84" spans="1:17" x14ac:dyDescent="0.25">
      <c r="A84">
        <v>350</v>
      </c>
      <c r="B84" s="18" t="s">
        <v>40</v>
      </c>
      <c r="E84"/>
      <c r="F84" s="48" t="e">
        <f t="shared" ref="F84:Q84" si="43">SUM(F81:F83)</f>
        <v>#REF!</v>
      </c>
      <c r="G84" s="48" t="e">
        <f t="shared" si="43"/>
        <v>#REF!</v>
      </c>
      <c r="H84" s="48" t="e">
        <f t="shared" si="43"/>
        <v>#REF!</v>
      </c>
      <c r="I84" s="48" t="e">
        <f t="shared" si="43"/>
        <v>#REF!</v>
      </c>
      <c r="J84" s="48" t="e">
        <f t="shared" si="43"/>
        <v>#REF!</v>
      </c>
      <c r="K84" s="48" t="e">
        <f t="shared" si="43"/>
        <v>#REF!</v>
      </c>
      <c r="L84" s="48" t="e">
        <f t="shared" si="43"/>
        <v>#REF!</v>
      </c>
      <c r="M84" s="48" t="e">
        <f t="shared" si="43"/>
        <v>#REF!</v>
      </c>
      <c r="N84" s="48" t="e">
        <f t="shared" si="43"/>
        <v>#REF!</v>
      </c>
      <c r="O84" s="48" t="e">
        <f t="shared" si="43"/>
        <v>#REF!</v>
      </c>
      <c r="P84" s="48" t="e">
        <f t="shared" si="43"/>
        <v>#REF!</v>
      </c>
      <c r="Q84" s="48" t="e">
        <f t="shared" si="43"/>
        <v>#REF!</v>
      </c>
    </row>
    <row r="85" spans="1:17" outlineLevel="1" x14ac:dyDescent="0.25">
      <c r="A85"/>
      <c r="B85" s="18"/>
      <c r="E85" s="6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7" outlineLevel="1" x14ac:dyDescent="0.25">
      <c r="A86"/>
      <c r="B86" s="18" t="s">
        <v>97</v>
      </c>
      <c r="C86" s="85" t="s">
        <v>102</v>
      </c>
      <c r="D86" s="149"/>
      <c r="E86"/>
      <c r="F86" s="31" t="e">
        <f t="shared" ref="F86:J87" si="44">$D86*(1+F$9)*IF((F$169-E$169)&gt;0,F$169-E$169,0)</f>
        <v>#REF!</v>
      </c>
      <c r="G86" s="31" t="e">
        <f t="shared" si="44"/>
        <v>#REF!</v>
      </c>
      <c r="H86" s="31" t="e">
        <f t="shared" si="44"/>
        <v>#REF!</v>
      </c>
      <c r="I86" s="31" t="e">
        <f t="shared" si="44"/>
        <v>#REF!</v>
      </c>
      <c r="J86" s="31" t="e">
        <f t="shared" si="44"/>
        <v>#REF!</v>
      </c>
      <c r="K86" s="31" t="e">
        <f t="shared" ref="K86:Q87" si="45">$D86*(1+K$9)*IF((K$169-J$169)&gt;0,K$169-J$169,0)+(I$86*(1+K$9))</f>
        <v>#REF!</v>
      </c>
      <c r="L86" s="31" t="e">
        <f t="shared" si="45"/>
        <v>#REF!</v>
      </c>
      <c r="M86" s="31" t="e">
        <f t="shared" si="45"/>
        <v>#REF!</v>
      </c>
      <c r="N86" s="31" t="e">
        <f t="shared" si="45"/>
        <v>#REF!</v>
      </c>
      <c r="O86" s="31" t="e">
        <f t="shared" si="45"/>
        <v>#REF!</v>
      </c>
      <c r="P86" s="31" t="e">
        <f t="shared" si="45"/>
        <v>#REF!</v>
      </c>
      <c r="Q86" s="31" t="e">
        <f t="shared" si="45"/>
        <v>#REF!</v>
      </c>
    </row>
    <row r="87" spans="1:17" outlineLevel="1" x14ac:dyDescent="0.25">
      <c r="A87"/>
      <c r="B87" s="18" t="s">
        <v>98</v>
      </c>
      <c r="C87" s="85" t="s">
        <v>102</v>
      </c>
      <c r="D87" s="149"/>
      <c r="E87"/>
      <c r="F87" s="31" t="e">
        <f t="shared" si="44"/>
        <v>#REF!</v>
      </c>
      <c r="G87" s="31" t="e">
        <f t="shared" si="44"/>
        <v>#REF!</v>
      </c>
      <c r="H87" s="31" t="e">
        <f t="shared" si="44"/>
        <v>#REF!</v>
      </c>
      <c r="I87" s="31" t="e">
        <f t="shared" si="44"/>
        <v>#REF!</v>
      </c>
      <c r="J87" s="31" t="e">
        <f t="shared" si="44"/>
        <v>#REF!</v>
      </c>
      <c r="K87" s="31" t="e">
        <f t="shared" si="45"/>
        <v>#REF!</v>
      </c>
      <c r="L87" s="31" t="e">
        <f t="shared" si="45"/>
        <v>#REF!</v>
      </c>
      <c r="M87" s="31" t="e">
        <f t="shared" si="45"/>
        <v>#REF!</v>
      </c>
      <c r="N87" s="31" t="e">
        <f t="shared" si="45"/>
        <v>#REF!</v>
      </c>
      <c r="O87" s="31" t="e">
        <f t="shared" si="45"/>
        <v>#REF!</v>
      </c>
      <c r="P87" s="31" t="e">
        <f t="shared" si="45"/>
        <v>#REF!</v>
      </c>
      <c r="Q87" s="31" t="e">
        <f t="shared" si="45"/>
        <v>#REF!</v>
      </c>
    </row>
    <row r="88" spans="1:17" outlineLevel="1" x14ac:dyDescent="0.25">
      <c r="A88"/>
      <c r="B88" s="18" t="s">
        <v>99</v>
      </c>
      <c r="C88" s="85" t="s">
        <v>103</v>
      </c>
      <c r="D88" s="98">
        <v>750</v>
      </c>
      <c r="E88"/>
      <c r="F88" s="31" t="e">
        <f>IF((F$180-E$180)&gt;0,ROUNDUP(F$180-E$180,0)*$D88*(1+F$9),0)</f>
        <v>#REF!</v>
      </c>
      <c r="G88" s="31" t="e">
        <f t="shared" ref="G88:K90" si="46">IF((G$180-F$180)&gt;0,ROUNDUP(G$180-F$180,0)*$D88*(1+G$9),0)</f>
        <v>#REF!</v>
      </c>
      <c r="H88" s="31" t="e">
        <f t="shared" si="46"/>
        <v>#REF!</v>
      </c>
      <c r="I88" s="31" t="e">
        <f t="shared" si="46"/>
        <v>#REF!</v>
      </c>
      <c r="J88" s="31" t="e">
        <f t="shared" si="46"/>
        <v>#REF!</v>
      </c>
      <c r="K88" s="31" t="e">
        <f t="shared" si="46"/>
        <v>#REF!</v>
      </c>
      <c r="L88" s="31" t="e">
        <f>IF((L$180-K$180)&gt;0,ROUNDUP(L$180-K$180,0)*$D88*(1+L$9),0)+(I88*(1+L$9))</f>
        <v>#REF!</v>
      </c>
      <c r="M88" s="31" t="e">
        <f t="shared" ref="M88:Q90" si="47">IF((M$180-L$180)&gt;0,ROUNDUP(M$180-L$180,0)*$D88*(1+M$9),0)+(J88*(1+M$9))</f>
        <v>#REF!</v>
      </c>
      <c r="N88" s="31" t="e">
        <f t="shared" si="47"/>
        <v>#REF!</v>
      </c>
      <c r="O88" s="31" t="e">
        <f t="shared" si="47"/>
        <v>#REF!</v>
      </c>
      <c r="P88" s="31" t="e">
        <f t="shared" si="47"/>
        <v>#REF!</v>
      </c>
      <c r="Q88" s="31" t="e">
        <f t="shared" si="47"/>
        <v>#REF!</v>
      </c>
    </row>
    <row r="89" spans="1:17" outlineLevel="1" x14ac:dyDescent="0.25">
      <c r="A89"/>
      <c r="B89" s="18" t="s">
        <v>100</v>
      </c>
      <c r="C89" s="85" t="s">
        <v>103</v>
      </c>
      <c r="D89" s="98">
        <v>100</v>
      </c>
      <c r="E89"/>
      <c r="F89" s="31" t="e">
        <f>IF((F$180-E$180)&gt;0,ROUNDUP(F$180-E$180,0)*$D89*(1+F$9),0)</f>
        <v>#REF!</v>
      </c>
      <c r="G89" s="31" t="e">
        <f t="shared" si="46"/>
        <v>#REF!</v>
      </c>
      <c r="H89" s="31" t="e">
        <f t="shared" si="46"/>
        <v>#REF!</v>
      </c>
      <c r="I89" s="31" t="e">
        <f t="shared" si="46"/>
        <v>#REF!</v>
      </c>
      <c r="J89" s="31" t="e">
        <f t="shared" si="46"/>
        <v>#REF!</v>
      </c>
      <c r="K89" s="31" t="e">
        <f t="shared" si="46"/>
        <v>#REF!</v>
      </c>
      <c r="L89" s="31" t="e">
        <f>IF((L$180-K$180)&gt;0,ROUNDUP(L$180-K$180,0)*$D89*(1+L$9),0)+(I89*(1+L$9))</f>
        <v>#REF!</v>
      </c>
      <c r="M89" s="31" t="e">
        <f t="shared" si="47"/>
        <v>#REF!</v>
      </c>
      <c r="N89" s="31" t="e">
        <f t="shared" si="47"/>
        <v>#REF!</v>
      </c>
      <c r="O89" s="31" t="e">
        <f t="shared" si="47"/>
        <v>#REF!</v>
      </c>
      <c r="P89" s="31" t="e">
        <f t="shared" si="47"/>
        <v>#REF!</v>
      </c>
      <c r="Q89" s="31" t="e">
        <f t="shared" si="47"/>
        <v>#REF!</v>
      </c>
    </row>
    <row r="90" spans="1:17" outlineLevel="1" x14ac:dyDescent="0.25">
      <c r="A90"/>
      <c r="B90" s="18" t="s">
        <v>101</v>
      </c>
      <c r="C90" s="85" t="s">
        <v>103</v>
      </c>
      <c r="D90" s="98">
        <v>250</v>
      </c>
      <c r="E90"/>
      <c r="F90" s="52" t="e">
        <f>IF((F$180-E$180)&gt;0,ROUNDUP(F$180-E$180,0)*$D90*(1+F$9),0)</f>
        <v>#REF!</v>
      </c>
      <c r="G90" s="52" t="e">
        <f t="shared" si="46"/>
        <v>#REF!</v>
      </c>
      <c r="H90" s="52" t="e">
        <f t="shared" si="46"/>
        <v>#REF!</v>
      </c>
      <c r="I90" s="52" t="e">
        <f t="shared" si="46"/>
        <v>#REF!</v>
      </c>
      <c r="J90" s="52" t="e">
        <f t="shared" si="46"/>
        <v>#REF!</v>
      </c>
      <c r="K90" s="52" t="e">
        <f t="shared" si="46"/>
        <v>#REF!</v>
      </c>
      <c r="L90" s="52" t="e">
        <f>IF((L$180-K$180)&gt;0,ROUNDUP(L$180-K$180,0)*$D90*(1+L$9),0)+(I90*(1+L$9))</f>
        <v>#REF!</v>
      </c>
      <c r="M90" s="52" t="e">
        <f t="shared" si="47"/>
        <v>#REF!</v>
      </c>
      <c r="N90" s="52" t="e">
        <f t="shared" si="47"/>
        <v>#REF!</v>
      </c>
      <c r="O90" s="52" t="e">
        <f t="shared" si="47"/>
        <v>#REF!</v>
      </c>
      <c r="P90" s="52" t="e">
        <f t="shared" si="47"/>
        <v>#REF!</v>
      </c>
      <c r="Q90" s="52" t="e">
        <f t="shared" si="47"/>
        <v>#REF!</v>
      </c>
    </row>
    <row r="91" spans="1:17" x14ac:dyDescent="0.25">
      <c r="A91">
        <v>370</v>
      </c>
      <c r="B91" s="18" t="s">
        <v>42</v>
      </c>
      <c r="C91" s="83"/>
      <c r="D91" s="83"/>
      <c r="E91"/>
      <c r="F91" s="48" t="e">
        <f t="shared" ref="F91:Q91" si="48">SUM(F86:F90)</f>
        <v>#REF!</v>
      </c>
      <c r="G91" s="48" t="e">
        <f t="shared" si="48"/>
        <v>#REF!</v>
      </c>
      <c r="H91" s="48" t="e">
        <f t="shared" si="48"/>
        <v>#REF!</v>
      </c>
      <c r="I91" s="48" t="e">
        <f t="shared" si="48"/>
        <v>#REF!</v>
      </c>
      <c r="J91" s="48" t="e">
        <f t="shared" si="48"/>
        <v>#REF!</v>
      </c>
      <c r="K91" s="48" t="e">
        <f t="shared" si="48"/>
        <v>#REF!</v>
      </c>
      <c r="L91" s="48" t="e">
        <f t="shared" si="48"/>
        <v>#REF!</v>
      </c>
      <c r="M91" s="48" t="e">
        <f t="shared" si="48"/>
        <v>#REF!</v>
      </c>
      <c r="N91" s="48" t="e">
        <f t="shared" si="48"/>
        <v>#REF!</v>
      </c>
      <c r="O91" s="48" t="e">
        <f t="shared" si="48"/>
        <v>#REF!</v>
      </c>
      <c r="P91" s="48" t="e">
        <f t="shared" si="48"/>
        <v>#REF!</v>
      </c>
      <c r="Q91" s="48" t="e">
        <f t="shared" si="48"/>
        <v>#REF!</v>
      </c>
    </row>
    <row r="92" spans="1:17" outlineLevel="1" x14ac:dyDescent="0.25">
      <c r="A92"/>
      <c r="B92" s="18" t="s">
        <v>104</v>
      </c>
      <c r="C92" s="85" t="s">
        <v>291</v>
      </c>
      <c r="D92" s="98">
        <v>750</v>
      </c>
      <c r="E92"/>
      <c r="F92" s="31" t="e">
        <f t="shared" ref="F92:K92" si="49">IF((F$183-E$183)&gt;0,ROUNDUP((F$183-E$183),0)*$D92*(1+F9),0)</f>
        <v>#REF!</v>
      </c>
      <c r="G92" s="31" t="e">
        <f t="shared" si="49"/>
        <v>#REF!</v>
      </c>
      <c r="H92" s="31" t="e">
        <f t="shared" si="49"/>
        <v>#REF!</v>
      </c>
      <c r="I92" s="31" t="e">
        <f t="shared" si="49"/>
        <v>#REF!</v>
      </c>
      <c r="J92" s="31" t="e">
        <f t="shared" si="49"/>
        <v>#REF!</v>
      </c>
      <c r="K92" s="31" t="e">
        <f t="shared" si="49"/>
        <v>#REF!</v>
      </c>
      <c r="L92" s="31" t="e">
        <f t="shared" ref="L92:Q92" si="50">IF((L$183-K$183)&gt;0,ROUNDUP((L$183-K$183),0)*$D92*(1+L9),0)+(I92*(1+L9))</f>
        <v>#REF!</v>
      </c>
      <c r="M92" s="31" t="e">
        <f t="shared" si="50"/>
        <v>#REF!</v>
      </c>
      <c r="N92" s="31" t="e">
        <f t="shared" si="50"/>
        <v>#REF!</v>
      </c>
      <c r="O92" s="31" t="e">
        <f t="shared" si="50"/>
        <v>#REF!</v>
      </c>
      <c r="P92" s="31" t="e">
        <f t="shared" si="50"/>
        <v>#REF!</v>
      </c>
      <c r="Q92" s="31" t="e">
        <f t="shared" si="50"/>
        <v>#REF!</v>
      </c>
    </row>
    <row r="93" spans="1:17" outlineLevel="1" x14ac:dyDescent="0.25">
      <c r="A93"/>
      <c r="B93" s="18" t="s">
        <v>105</v>
      </c>
      <c r="C93" s="83"/>
      <c r="D93" s="98">
        <v>100</v>
      </c>
      <c r="E93"/>
      <c r="F93" s="52" t="e">
        <f>IF((F$169)&gt;0,($D93*(1+F9)),0)</f>
        <v>#REF!</v>
      </c>
      <c r="G93" s="52" t="e">
        <f t="shared" ref="G93:Q93" si="51">IF((G$169)&gt;0,($D93*(1+G9)),0)</f>
        <v>#REF!</v>
      </c>
      <c r="H93" s="52" t="e">
        <f t="shared" si="51"/>
        <v>#REF!</v>
      </c>
      <c r="I93" s="52" t="e">
        <f t="shared" si="51"/>
        <v>#REF!</v>
      </c>
      <c r="J93" s="52" t="e">
        <f t="shared" si="51"/>
        <v>#REF!</v>
      </c>
      <c r="K93" s="52" t="e">
        <f t="shared" si="51"/>
        <v>#REF!</v>
      </c>
      <c r="L93" s="52" t="e">
        <f t="shared" si="51"/>
        <v>#REF!</v>
      </c>
      <c r="M93" s="52" t="e">
        <f t="shared" si="51"/>
        <v>#REF!</v>
      </c>
      <c r="N93" s="52" t="e">
        <f t="shared" si="51"/>
        <v>#REF!</v>
      </c>
      <c r="O93" s="52" t="e">
        <f t="shared" si="51"/>
        <v>#REF!</v>
      </c>
      <c r="P93" s="52" t="e">
        <f t="shared" si="51"/>
        <v>#REF!</v>
      </c>
      <c r="Q93" s="52" t="e">
        <f t="shared" si="51"/>
        <v>#REF!</v>
      </c>
    </row>
    <row r="94" spans="1:17" x14ac:dyDescent="0.25">
      <c r="A94">
        <v>380</v>
      </c>
      <c r="B94" s="18" t="s">
        <v>73</v>
      </c>
      <c r="C94" s="83"/>
      <c r="D94" s="83"/>
      <c r="E94"/>
      <c r="F94" s="48" t="e">
        <f t="shared" ref="F94:Q94" si="52">SUM(F92:F93)</f>
        <v>#REF!</v>
      </c>
      <c r="G94" s="48" t="e">
        <f t="shared" si="52"/>
        <v>#REF!</v>
      </c>
      <c r="H94" s="48" t="e">
        <f t="shared" si="52"/>
        <v>#REF!</v>
      </c>
      <c r="I94" s="48" t="e">
        <f t="shared" si="52"/>
        <v>#REF!</v>
      </c>
      <c r="J94" s="48" t="e">
        <f t="shared" si="52"/>
        <v>#REF!</v>
      </c>
      <c r="K94" s="48" t="e">
        <f t="shared" si="52"/>
        <v>#REF!</v>
      </c>
      <c r="L94" s="48" t="e">
        <f t="shared" si="52"/>
        <v>#REF!</v>
      </c>
      <c r="M94" s="48" t="e">
        <f t="shared" si="52"/>
        <v>#REF!</v>
      </c>
      <c r="N94" s="48" t="e">
        <f t="shared" si="52"/>
        <v>#REF!</v>
      </c>
      <c r="O94" s="48" t="e">
        <f t="shared" si="52"/>
        <v>#REF!</v>
      </c>
      <c r="P94" s="48" t="e">
        <f t="shared" si="52"/>
        <v>#REF!</v>
      </c>
      <c r="Q94" s="48" t="e">
        <f t="shared" si="52"/>
        <v>#REF!</v>
      </c>
    </row>
    <row r="95" spans="1:17" outlineLevel="1" x14ac:dyDescent="0.25">
      <c r="A95"/>
      <c r="B95" s="18"/>
      <c r="E95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outlineLevel="1" x14ac:dyDescent="0.25">
      <c r="A96"/>
      <c r="B96" s="18" t="s">
        <v>107</v>
      </c>
      <c r="C96" t="s">
        <v>299</v>
      </c>
      <c r="D96" s="86">
        <f>1692/450</f>
        <v>3.76</v>
      </c>
      <c r="E96"/>
      <c r="F96" s="59" t="e">
        <f>IF(F$169&gt;0,$D96*(1+F$9),0)*12*F$169</f>
        <v>#REF!</v>
      </c>
      <c r="G96" s="59" t="e">
        <f t="shared" ref="G96:Q104" si="53">IF(G$169&gt;0,$D96*(1+G$9),0)*12*G$169</f>
        <v>#REF!</v>
      </c>
      <c r="H96" s="59" t="e">
        <f t="shared" si="53"/>
        <v>#REF!</v>
      </c>
      <c r="I96" s="59" t="e">
        <f t="shared" si="53"/>
        <v>#REF!</v>
      </c>
      <c r="J96" s="59" t="e">
        <f t="shared" si="53"/>
        <v>#REF!</v>
      </c>
      <c r="K96" s="59" t="e">
        <f t="shared" si="53"/>
        <v>#REF!</v>
      </c>
      <c r="L96" s="59" t="e">
        <f t="shared" si="53"/>
        <v>#REF!</v>
      </c>
      <c r="M96" s="59" t="e">
        <f t="shared" si="53"/>
        <v>#REF!</v>
      </c>
      <c r="N96" s="59" t="e">
        <f t="shared" si="53"/>
        <v>#REF!</v>
      </c>
      <c r="O96" s="59" t="e">
        <f t="shared" si="53"/>
        <v>#REF!</v>
      </c>
      <c r="P96" s="59" t="e">
        <f t="shared" si="53"/>
        <v>#REF!</v>
      </c>
      <c r="Q96" s="59" t="e">
        <f t="shared" si="53"/>
        <v>#REF!</v>
      </c>
    </row>
    <row r="97" spans="1:17" outlineLevel="1" x14ac:dyDescent="0.25">
      <c r="A97"/>
      <c r="B97" s="18" t="s">
        <v>108</v>
      </c>
      <c r="C97" t="s">
        <v>299</v>
      </c>
      <c r="D97" s="86">
        <f>87/450</f>
        <v>0.19333333333333333</v>
      </c>
      <c r="E97"/>
      <c r="F97" s="59" t="e">
        <f>IF(F$169&gt;0,$D97*(1+F$9),0)*12*F$169</f>
        <v>#REF!</v>
      </c>
      <c r="G97" s="59" t="e">
        <f t="shared" si="53"/>
        <v>#REF!</v>
      </c>
      <c r="H97" s="59" t="e">
        <f t="shared" si="53"/>
        <v>#REF!</v>
      </c>
      <c r="I97" s="59" t="e">
        <f t="shared" si="53"/>
        <v>#REF!</v>
      </c>
      <c r="J97" s="59" t="e">
        <f t="shared" si="53"/>
        <v>#REF!</v>
      </c>
      <c r="K97" s="59" t="e">
        <f t="shared" si="53"/>
        <v>#REF!</v>
      </c>
      <c r="L97" s="59" t="e">
        <f t="shared" si="53"/>
        <v>#REF!</v>
      </c>
      <c r="M97" s="59" t="e">
        <f t="shared" si="53"/>
        <v>#REF!</v>
      </c>
      <c r="N97" s="59" t="e">
        <f t="shared" si="53"/>
        <v>#REF!</v>
      </c>
      <c r="O97" s="59" t="e">
        <f t="shared" si="53"/>
        <v>#REF!</v>
      </c>
      <c r="P97" s="59" t="e">
        <f t="shared" si="53"/>
        <v>#REF!</v>
      </c>
      <c r="Q97" s="59" t="e">
        <f t="shared" si="53"/>
        <v>#REF!</v>
      </c>
    </row>
    <row r="98" spans="1:17" outlineLevel="1" x14ac:dyDescent="0.25">
      <c r="A98"/>
      <c r="B98" s="18" t="s">
        <v>109</v>
      </c>
      <c r="C98" t="s">
        <v>299</v>
      </c>
      <c r="D98" s="84">
        <f>2409/450</f>
        <v>5.3533333333333335</v>
      </c>
      <c r="E98"/>
      <c r="F98" s="59" t="e">
        <f>IF(F$169&gt;0,$D98*(1+F$9),0)*12*F$169</f>
        <v>#REF!</v>
      </c>
      <c r="G98" s="59" t="e">
        <f t="shared" si="53"/>
        <v>#REF!</v>
      </c>
      <c r="H98" s="59" t="e">
        <f t="shared" si="53"/>
        <v>#REF!</v>
      </c>
      <c r="I98" s="59" t="e">
        <f t="shared" si="53"/>
        <v>#REF!</v>
      </c>
      <c r="J98" s="59" t="e">
        <f t="shared" si="53"/>
        <v>#REF!</v>
      </c>
      <c r="K98" s="59" t="e">
        <f t="shared" si="53"/>
        <v>#REF!</v>
      </c>
      <c r="L98" s="59" t="e">
        <f t="shared" si="53"/>
        <v>#REF!</v>
      </c>
      <c r="M98" s="59" t="e">
        <f t="shared" si="53"/>
        <v>#REF!</v>
      </c>
      <c r="N98" s="59" t="e">
        <f t="shared" si="53"/>
        <v>#REF!</v>
      </c>
      <c r="O98" s="59" t="e">
        <f t="shared" si="53"/>
        <v>#REF!</v>
      </c>
      <c r="P98" s="59" t="e">
        <f t="shared" si="53"/>
        <v>#REF!</v>
      </c>
      <c r="Q98" s="59" t="e">
        <f t="shared" si="53"/>
        <v>#REF!</v>
      </c>
    </row>
    <row r="99" spans="1:17" outlineLevel="1" x14ac:dyDescent="0.25">
      <c r="A99"/>
      <c r="B99" s="18" t="s">
        <v>185</v>
      </c>
      <c r="C99" t="s">
        <v>300</v>
      </c>
      <c r="D99" s="86">
        <f>518/450</f>
        <v>1.1511111111111112</v>
      </c>
      <c r="E99"/>
      <c r="F99" s="59" t="e">
        <f>IF(F$169&gt;0,$D99*(1+F$9),0)*12*F$169</f>
        <v>#REF!</v>
      </c>
      <c r="G99" s="59" t="e">
        <f t="shared" si="53"/>
        <v>#REF!</v>
      </c>
      <c r="H99" s="59" t="e">
        <f t="shared" si="53"/>
        <v>#REF!</v>
      </c>
      <c r="I99" s="59" t="e">
        <f t="shared" si="53"/>
        <v>#REF!</v>
      </c>
      <c r="J99" s="59" t="e">
        <f t="shared" si="53"/>
        <v>#REF!</v>
      </c>
      <c r="K99" s="59" t="e">
        <f t="shared" si="53"/>
        <v>#REF!</v>
      </c>
      <c r="L99" s="59" t="e">
        <f t="shared" si="53"/>
        <v>#REF!</v>
      </c>
      <c r="M99" s="59" t="e">
        <f t="shared" si="53"/>
        <v>#REF!</v>
      </c>
      <c r="N99" s="59" t="e">
        <f t="shared" si="53"/>
        <v>#REF!</v>
      </c>
      <c r="O99" s="59" t="e">
        <f t="shared" si="53"/>
        <v>#REF!</v>
      </c>
      <c r="P99" s="59" t="e">
        <f t="shared" si="53"/>
        <v>#REF!</v>
      </c>
      <c r="Q99" s="59" t="e">
        <f t="shared" si="53"/>
        <v>#REF!</v>
      </c>
    </row>
    <row r="100" spans="1:17" outlineLevel="1" x14ac:dyDescent="0.25">
      <c r="A100"/>
      <c r="B100" s="18" t="s">
        <v>110</v>
      </c>
      <c r="C100" t="s">
        <v>299</v>
      </c>
      <c r="D100" s="86">
        <f>538/450</f>
        <v>1.1955555555555555</v>
      </c>
      <c r="E100"/>
      <c r="F100" s="59" t="e">
        <f>IF(F$169&gt;0,$D100*(1+F$9),0)*12*F$169</f>
        <v>#REF!</v>
      </c>
      <c r="G100" s="59" t="e">
        <f t="shared" si="53"/>
        <v>#REF!</v>
      </c>
      <c r="H100" s="59" t="e">
        <f t="shared" si="53"/>
        <v>#REF!</v>
      </c>
      <c r="I100" s="59" t="e">
        <f t="shared" si="53"/>
        <v>#REF!</v>
      </c>
      <c r="J100" s="59" t="e">
        <f t="shared" si="53"/>
        <v>#REF!</v>
      </c>
      <c r="K100" s="59" t="e">
        <f t="shared" si="53"/>
        <v>#REF!</v>
      </c>
      <c r="L100" s="59" t="e">
        <f t="shared" si="53"/>
        <v>#REF!</v>
      </c>
      <c r="M100" s="59" t="e">
        <f t="shared" si="53"/>
        <v>#REF!</v>
      </c>
      <c r="N100" s="59" t="e">
        <f t="shared" si="53"/>
        <v>#REF!</v>
      </c>
      <c r="O100" s="59" t="e">
        <f t="shared" si="53"/>
        <v>#REF!</v>
      </c>
      <c r="P100" s="59" t="e">
        <f t="shared" si="53"/>
        <v>#REF!</v>
      </c>
      <c r="Q100" s="59" t="e">
        <f t="shared" si="53"/>
        <v>#REF!</v>
      </c>
    </row>
    <row r="101" spans="1:17" outlineLevel="1" x14ac:dyDescent="0.25">
      <c r="A101"/>
      <c r="B101" s="18" t="s">
        <v>187</v>
      </c>
      <c r="C101" t="s">
        <v>188</v>
      </c>
      <c r="D101" s="84">
        <v>105</v>
      </c>
      <c r="E101"/>
      <c r="F101" s="59" t="e">
        <f t="shared" ref="F101:Q101" si="54">IF(F$169&gt;0,$D101*(1+F$9),0)*4</f>
        <v>#REF!</v>
      </c>
      <c r="G101" s="59" t="e">
        <f t="shared" si="54"/>
        <v>#REF!</v>
      </c>
      <c r="H101" s="59" t="e">
        <f t="shared" si="54"/>
        <v>#REF!</v>
      </c>
      <c r="I101" s="59" t="e">
        <f t="shared" si="54"/>
        <v>#REF!</v>
      </c>
      <c r="J101" s="59" t="e">
        <f t="shared" si="54"/>
        <v>#REF!</v>
      </c>
      <c r="K101" s="59" t="e">
        <f t="shared" si="54"/>
        <v>#REF!</v>
      </c>
      <c r="L101" s="59" t="e">
        <f t="shared" si="54"/>
        <v>#REF!</v>
      </c>
      <c r="M101" s="59" t="e">
        <f t="shared" si="54"/>
        <v>#REF!</v>
      </c>
      <c r="N101" s="59" t="e">
        <f t="shared" si="54"/>
        <v>#REF!</v>
      </c>
      <c r="O101" s="59" t="e">
        <f t="shared" si="54"/>
        <v>#REF!</v>
      </c>
      <c r="P101" s="59" t="e">
        <f t="shared" si="54"/>
        <v>#REF!</v>
      </c>
      <c r="Q101" s="59" t="e">
        <f t="shared" si="54"/>
        <v>#REF!</v>
      </c>
    </row>
    <row r="102" spans="1:17" outlineLevel="1" x14ac:dyDescent="0.25">
      <c r="A102"/>
      <c r="B102" s="18" t="s">
        <v>183</v>
      </c>
      <c r="C102" t="s">
        <v>299</v>
      </c>
      <c r="D102" s="86">
        <f>250/450</f>
        <v>0.55555555555555558</v>
      </c>
      <c r="E102"/>
      <c r="F102" s="59" t="e">
        <f>IF(F$169&gt;0,$D102*(1+F$9),0)*12*F$169</f>
        <v>#REF!</v>
      </c>
      <c r="G102" s="59" t="e">
        <f t="shared" si="53"/>
        <v>#REF!</v>
      </c>
      <c r="H102" s="59" t="e">
        <f t="shared" si="53"/>
        <v>#REF!</v>
      </c>
      <c r="I102" s="59" t="e">
        <f t="shared" si="53"/>
        <v>#REF!</v>
      </c>
      <c r="J102" s="59" t="e">
        <f t="shared" si="53"/>
        <v>#REF!</v>
      </c>
      <c r="K102" s="59" t="e">
        <f t="shared" si="53"/>
        <v>#REF!</v>
      </c>
      <c r="L102" s="59" t="e">
        <f t="shared" si="53"/>
        <v>#REF!</v>
      </c>
      <c r="M102" s="59" t="e">
        <f t="shared" si="53"/>
        <v>#REF!</v>
      </c>
      <c r="N102" s="59" t="e">
        <f t="shared" si="53"/>
        <v>#REF!</v>
      </c>
      <c r="O102" s="59" t="e">
        <f t="shared" si="53"/>
        <v>#REF!</v>
      </c>
      <c r="P102" s="59" t="e">
        <f t="shared" si="53"/>
        <v>#REF!</v>
      </c>
      <c r="Q102" s="59" t="e">
        <f t="shared" si="53"/>
        <v>#REF!</v>
      </c>
    </row>
    <row r="103" spans="1:17" outlineLevel="1" x14ac:dyDescent="0.25">
      <c r="A103"/>
      <c r="B103" s="18" t="s">
        <v>111</v>
      </c>
      <c r="C103" t="s">
        <v>299</v>
      </c>
      <c r="D103" s="86">
        <f>120/450</f>
        <v>0.26666666666666666</v>
      </c>
      <c r="E103"/>
      <c r="F103" s="59" t="e">
        <f>IF(F$169&gt;0,$D103*(1+F$9),0)*12*F$169</f>
        <v>#REF!</v>
      </c>
      <c r="G103" s="59" t="e">
        <f t="shared" si="53"/>
        <v>#REF!</v>
      </c>
      <c r="H103" s="59" t="e">
        <f t="shared" si="53"/>
        <v>#REF!</v>
      </c>
      <c r="I103" s="59" t="e">
        <f t="shared" si="53"/>
        <v>#REF!</v>
      </c>
      <c r="J103" s="59" t="e">
        <f t="shared" si="53"/>
        <v>#REF!</v>
      </c>
      <c r="K103" s="59" t="e">
        <f t="shared" si="53"/>
        <v>#REF!</v>
      </c>
      <c r="L103" s="59" t="e">
        <f t="shared" si="53"/>
        <v>#REF!</v>
      </c>
      <c r="M103" s="59" t="e">
        <f t="shared" si="53"/>
        <v>#REF!</v>
      </c>
      <c r="N103" s="59" t="e">
        <f t="shared" si="53"/>
        <v>#REF!</v>
      </c>
      <c r="O103" s="59" t="e">
        <f t="shared" si="53"/>
        <v>#REF!</v>
      </c>
      <c r="P103" s="59" t="e">
        <f t="shared" si="53"/>
        <v>#REF!</v>
      </c>
      <c r="Q103" s="59" t="e">
        <f t="shared" si="53"/>
        <v>#REF!</v>
      </c>
    </row>
    <row r="104" spans="1:17" outlineLevel="1" x14ac:dyDescent="0.25">
      <c r="A104"/>
      <c r="B104" s="18" t="s">
        <v>186</v>
      </c>
      <c r="C104" t="s">
        <v>299</v>
      </c>
      <c r="D104" s="86">
        <f>1320/450</f>
        <v>2.9333333333333331</v>
      </c>
      <c r="E104"/>
      <c r="F104" s="52" t="e">
        <f>IF(F$169&gt;0,$D104*(1+F$9),0)*12*F$169</f>
        <v>#REF!</v>
      </c>
      <c r="G104" s="52" t="e">
        <f t="shared" si="53"/>
        <v>#REF!</v>
      </c>
      <c r="H104" s="52" t="e">
        <f t="shared" si="53"/>
        <v>#REF!</v>
      </c>
      <c r="I104" s="52" t="e">
        <f t="shared" si="53"/>
        <v>#REF!</v>
      </c>
      <c r="J104" s="52" t="e">
        <f t="shared" si="53"/>
        <v>#REF!</v>
      </c>
      <c r="K104" s="52" t="e">
        <f t="shared" si="53"/>
        <v>#REF!</v>
      </c>
      <c r="L104" s="52" t="e">
        <f t="shared" si="53"/>
        <v>#REF!</v>
      </c>
      <c r="M104" s="52" t="e">
        <f t="shared" si="53"/>
        <v>#REF!</v>
      </c>
      <c r="N104" s="52" t="e">
        <f t="shared" si="53"/>
        <v>#REF!</v>
      </c>
      <c r="O104" s="52" t="e">
        <f t="shared" si="53"/>
        <v>#REF!</v>
      </c>
      <c r="P104" s="52" t="e">
        <f t="shared" si="53"/>
        <v>#REF!</v>
      </c>
      <c r="Q104" s="52" t="e">
        <f t="shared" si="53"/>
        <v>#REF!</v>
      </c>
    </row>
    <row r="105" spans="1:17" x14ac:dyDescent="0.25">
      <c r="A105">
        <v>400</v>
      </c>
      <c r="B105" s="18" t="s">
        <v>74</v>
      </c>
      <c r="D105" s="83"/>
      <c r="E105"/>
      <c r="F105" s="48" t="e">
        <f t="shared" ref="F105:Q105" si="55">SUM(F96:F104)</f>
        <v>#REF!</v>
      </c>
      <c r="G105" s="48" t="e">
        <f t="shared" si="55"/>
        <v>#REF!</v>
      </c>
      <c r="H105" s="48" t="e">
        <f t="shared" si="55"/>
        <v>#REF!</v>
      </c>
      <c r="I105" s="48" t="e">
        <f t="shared" si="55"/>
        <v>#REF!</v>
      </c>
      <c r="J105" s="48" t="e">
        <f t="shared" si="55"/>
        <v>#REF!</v>
      </c>
      <c r="K105" s="48" t="e">
        <f t="shared" si="55"/>
        <v>#REF!</v>
      </c>
      <c r="L105" s="48" t="e">
        <f t="shared" si="55"/>
        <v>#REF!</v>
      </c>
      <c r="M105" s="48" t="e">
        <f t="shared" si="55"/>
        <v>#REF!</v>
      </c>
      <c r="N105" s="48" t="e">
        <f t="shared" si="55"/>
        <v>#REF!</v>
      </c>
      <c r="O105" s="48" t="e">
        <f t="shared" si="55"/>
        <v>#REF!</v>
      </c>
      <c r="P105" s="48" t="e">
        <f t="shared" si="55"/>
        <v>#REF!</v>
      </c>
      <c r="Q105" s="48" t="e">
        <f t="shared" si="55"/>
        <v>#REF!</v>
      </c>
    </row>
    <row r="106" spans="1:17" x14ac:dyDescent="0.25">
      <c r="A106">
        <v>450</v>
      </c>
      <c r="B106" s="18" t="s">
        <v>75</v>
      </c>
      <c r="C106" t="s">
        <v>94</v>
      </c>
      <c r="D106" s="84">
        <v>900</v>
      </c>
      <c r="E106"/>
      <c r="F106" s="48" t="e">
        <f t="shared" ref="F106:Q106" si="56">$D106*F$169*(1+F$10)</f>
        <v>#REF!</v>
      </c>
      <c r="G106" s="48" t="e">
        <f t="shared" si="56"/>
        <v>#REF!</v>
      </c>
      <c r="H106" s="48" t="e">
        <f t="shared" si="56"/>
        <v>#REF!</v>
      </c>
      <c r="I106" s="48" t="e">
        <f t="shared" si="56"/>
        <v>#REF!</v>
      </c>
      <c r="J106" s="48" t="e">
        <f t="shared" si="56"/>
        <v>#REF!</v>
      </c>
      <c r="K106" s="48" t="e">
        <f t="shared" si="56"/>
        <v>#REF!</v>
      </c>
      <c r="L106" s="48" t="e">
        <f t="shared" si="56"/>
        <v>#REF!</v>
      </c>
      <c r="M106" s="48" t="e">
        <f t="shared" si="56"/>
        <v>#REF!</v>
      </c>
      <c r="N106" s="48" t="e">
        <f t="shared" si="56"/>
        <v>#REF!</v>
      </c>
      <c r="O106" s="48" t="e">
        <f t="shared" si="56"/>
        <v>#REF!</v>
      </c>
      <c r="P106" s="48" t="e">
        <f t="shared" si="56"/>
        <v>#REF!</v>
      </c>
      <c r="Q106" s="48" t="e">
        <f t="shared" si="56"/>
        <v>#REF!</v>
      </c>
    </row>
    <row r="107" spans="1:17" x14ac:dyDescent="0.25">
      <c r="A107">
        <v>480</v>
      </c>
      <c r="B107" s="18" t="s">
        <v>76</v>
      </c>
      <c r="C107" t="s">
        <v>112</v>
      </c>
      <c r="D107" s="84"/>
      <c r="E107"/>
      <c r="F107" s="59" t="e">
        <f t="shared" ref="F107:Q107" si="57">IF(F$169&gt;0,$D107*(1+F$9),0)*12</f>
        <v>#REF!</v>
      </c>
      <c r="G107" s="59" t="e">
        <f t="shared" si="57"/>
        <v>#REF!</v>
      </c>
      <c r="H107" s="59" t="e">
        <f t="shared" si="57"/>
        <v>#REF!</v>
      </c>
      <c r="I107" s="59" t="e">
        <f t="shared" si="57"/>
        <v>#REF!</v>
      </c>
      <c r="J107" s="59" t="e">
        <f t="shared" si="57"/>
        <v>#REF!</v>
      </c>
      <c r="K107" s="59" t="e">
        <f t="shared" si="57"/>
        <v>#REF!</v>
      </c>
      <c r="L107" s="59" t="e">
        <f t="shared" si="57"/>
        <v>#REF!</v>
      </c>
      <c r="M107" s="59" t="e">
        <f t="shared" si="57"/>
        <v>#REF!</v>
      </c>
      <c r="N107" s="59" t="e">
        <f t="shared" si="57"/>
        <v>#REF!</v>
      </c>
      <c r="O107" s="59" t="e">
        <f t="shared" si="57"/>
        <v>#REF!</v>
      </c>
      <c r="P107" s="59" t="e">
        <f t="shared" si="57"/>
        <v>#REF!</v>
      </c>
      <c r="Q107" s="59" t="e">
        <f t="shared" si="57"/>
        <v>#REF!</v>
      </c>
    </row>
    <row r="108" spans="1:17" outlineLevel="1" x14ac:dyDescent="0.25">
      <c r="A108"/>
      <c r="B108" s="18" t="s">
        <v>113</v>
      </c>
      <c r="C108" t="s">
        <v>189</v>
      </c>
      <c r="D108" s="85">
        <v>28000</v>
      </c>
      <c r="E108"/>
      <c r="F108" s="48" t="e">
        <f t="shared" ref="F108:Q108" si="58">$D108/46*(1+F$10)*10*F$172</f>
        <v>#REF!</v>
      </c>
      <c r="G108" s="48" t="e">
        <f t="shared" si="58"/>
        <v>#REF!</v>
      </c>
      <c r="H108" s="48" t="e">
        <f t="shared" si="58"/>
        <v>#REF!</v>
      </c>
      <c r="I108" s="48" t="e">
        <f t="shared" si="58"/>
        <v>#REF!</v>
      </c>
      <c r="J108" s="48" t="e">
        <f t="shared" si="58"/>
        <v>#REF!</v>
      </c>
      <c r="K108" s="48" t="e">
        <f t="shared" si="58"/>
        <v>#REF!</v>
      </c>
      <c r="L108" s="48" t="e">
        <f t="shared" si="58"/>
        <v>#REF!</v>
      </c>
      <c r="M108" s="48" t="e">
        <f t="shared" si="58"/>
        <v>#REF!</v>
      </c>
      <c r="N108" s="48" t="e">
        <f t="shared" si="58"/>
        <v>#REF!</v>
      </c>
      <c r="O108" s="48" t="e">
        <f t="shared" si="58"/>
        <v>#REF!</v>
      </c>
      <c r="P108" s="48" t="e">
        <f t="shared" si="58"/>
        <v>#REF!</v>
      </c>
      <c r="Q108" s="48" t="e">
        <f t="shared" si="58"/>
        <v>#REF!</v>
      </c>
    </row>
    <row r="109" spans="1:17" outlineLevel="1" x14ac:dyDescent="0.25">
      <c r="A109"/>
      <c r="B109" s="18" t="s">
        <v>113</v>
      </c>
      <c r="C109" t="s">
        <v>114</v>
      </c>
      <c r="D109" s="84">
        <v>0</v>
      </c>
      <c r="E109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outlineLevel="1" x14ac:dyDescent="0.25">
      <c r="A110"/>
      <c r="B110" s="18" t="s">
        <v>133</v>
      </c>
      <c r="C110" t="s">
        <v>264</v>
      </c>
      <c r="D110" s="136">
        <v>0.4</v>
      </c>
      <c r="E110"/>
      <c r="F110" s="59" t="e">
        <f t="shared" ref="F110:Q110" si="59">$D110*(F27+F35)</f>
        <v>#REF!</v>
      </c>
      <c r="G110" s="59" t="e">
        <f t="shared" si="59"/>
        <v>#REF!</v>
      </c>
      <c r="H110" s="59" t="e">
        <f t="shared" si="59"/>
        <v>#REF!</v>
      </c>
      <c r="I110" s="59" t="e">
        <f t="shared" si="59"/>
        <v>#REF!</v>
      </c>
      <c r="J110" s="59" t="e">
        <f t="shared" si="59"/>
        <v>#REF!</v>
      </c>
      <c r="K110" s="59" t="e">
        <f t="shared" si="59"/>
        <v>#REF!</v>
      </c>
      <c r="L110" s="59" t="e">
        <f t="shared" si="59"/>
        <v>#REF!</v>
      </c>
      <c r="M110" s="59" t="e">
        <f t="shared" si="59"/>
        <v>#REF!</v>
      </c>
      <c r="N110" s="59" t="e">
        <f t="shared" si="59"/>
        <v>#REF!</v>
      </c>
      <c r="O110" s="59" t="e">
        <f t="shared" si="59"/>
        <v>#REF!</v>
      </c>
      <c r="P110" s="59" t="e">
        <f t="shared" si="59"/>
        <v>#REF!</v>
      </c>
      <c r="Q110" s="59" t="e">
        <f t="shared" si="59"/>
        <v>#REF!</v>
      </c>
    </row>
    <row r="111" spans="1:17" outlineLevel="1" x14ac:dyDescent="0.25">
      <c r="A111"/>
      <c r="B111" s="18" t="s">
        <v>115</v>
      </c>
      <c r="C111" t="s">
        <v>116</v>
      </c>
      <c r="D111" s="84">
        <v>160</v>
      </c>
      <c r="E111"/>
      <c r="F111" s="52" t="e">
        <f t="shared" ref="F111:Q111" si="60">$D111*F$180*(1+F$9)*10</f>
        <v>#REF!</v>
      </c>
      <c r="G111" s="52" t="e">
        <f t="shared" si="60"/>
        <v>#REF!</v>
      </c>
      <c r="H111" s="52" t="e">
        <f t="shared" si="60"/>
        <v>#REF!</v>
      </c>
      <c r="I111" s="52" t="e">
        <f t="shared" si="60"/>
        <v>#REF!</v>
      </c>
      <c r="J111" s="52" t="e">
        <f t="shared" si="60"/>
        <v>#REF!</v>
      </c>
      <c r="K111" s="52" t="e">
        <f t="shared" si="60"/>
        <v>#REF!</v>
      </c>
      <c r="L111" s="52" t="e">
        <f t="shared" si="60"/>
        <v>#REF!</v>
      </c>
      <c r="M111" s="52" t="e">
        <f t="shared" si="60"/>
        <v>#REF!</v>
      </c>
      <c r="N111" s="52" t="e">
        <f t="shared" si="60"/>
        <v>#REF!</v>
      </c>
      <c r="O111" s="52" t="e">
        <f t="shared" si="60"/>
        <v>#REF!</v>
      </c>
      <c r="P111" s="52" t="e">
        <f t="shared" si="60"/>
        <v>#REF!</v>
      </c>
      <c r="Q111" s="52" t="e">
        <f t="shared" si="60"/>
        <v>#REF!</v>
      </c>
    </row>
    <row r="112" spans="1:17" x14ac:dyDescent="0.25">
      <c r="A112">
        <v>500</v>
      </c>
      <c r="B112" s="18" t="s">
        <v>77</v>
      </c>
      <c r="D112" s="83"/>
      <c r="E112"/>
      <c r="F112" s="48" t="e">
        <f t="shared" ref="F112:Q112" si="61">SUM(F108:F111)</f>
        <v>#REF!</v>
      </c>
      <c r="G112" s="48" t="e">
        <f t="shared" si="61"/>
        <v>#REF!</v>
      </c>
      <c r="H112" s="48" t="e">
        <f t="shared" si="61"/>
        <v>#REF!</v>
      </c>
      <c r="I112" s="48" t="e">
        <f t="shared" si="61"/>
        <v>#REF!</v>
      </c>
      <c r="J112" s="48" t="e">
        <f t="shared" si="61"/>
        <v>#REF!</v>
      </c>
      <c r="K112" s="48" t="e">
        <f t="shared" si="61"/>
        <v>#REF!</v>
      </c>
      <c r="L112" s="48" t="e">
        <f t="shared" si="61"/>
        <v>#REF!</v>
      </c>
      <c r="M112" s="48" t="e">
        <f t="shared" si="61"/>
        <v>#REF!</v>
      </c>
      <c r="N112" s="48" t="e">
        <f t="shared" si="61"/>
        <v>#REF!</v>
      </c>
      <c r="O112" s="48" t="e">
        <f t="shared" si="61"/>
        <v>#REF!</v>
      </c>
      <c r="P112" s="48" t="e">
        <f t="shared" si="61"/>
        <v>#REF!</v>
      </c>
      <c r="Q112" s="48" t="e">
        <f t="shared" si="61"/>
        <v>#REF!</v>
      </c>
    </row>
    <row r="113" spans="1:17" outlineLevel="1" x14ac:dyDescent="0.25">
      <c r="A113"/>
      <c r="B113" s="18" t="s">
        <v>118</v>
      </c>
      <c r="C113" t="s">
        <v>45</v>
      </c>
      <c r="D113" s="84">
        <v>2500</v>
      </c>
      <c r="E113"/>
      <c r="F113" s="59" t="e">
        <f t="shared" ref="F113:Q114" si="62">IF(F$169&gt;0,$D113*(1+F$9),0)</f>
        <v>#REF!</v>
      </c>
      <c r="G113" s="59" t="e">
        <f t="shared" si="62"/>
        <v>#REF!</v>
      </c>
      <c r="H113" s="59" t="e">
        <f t="shared" si="62"/>
        <v>#REF!</v>
      </c>
      <c r="I113" s="59" t="e">
        <f t="shared" si="62"/>
        <v>#REF!</v>
      </c>
      <c r="J113" s="59" t="e">
        <f t="shared" si="62"/>
        <v>#REF!</v>
      </c>
      <c r="K113" s="59" t="e">
        <f t="shared" si="62"/>
        <v>#REF!</v>
      </c>
      <c r="L113" s="59" t="e">
        <f t="shared" si="62"/>
        <v>#REF!</v>
      </c>
      <c r="M113" s="59" t="e">
        <f t="shared" si="62"/>
        <v>#REF!</v>
      </c>
      <c r="N113" s="59" t="e">
        <f t="shared" si="62"/>
        <v>#REF!</v>
      </c>
      <c r="O113" s="59" t="e">
        <f t="shared" si="62"/>
        <v>#REF!</v>
      </c>
      <c r="P113" s="59" t="e">
        <f t="shared" si="62"/>
        <v>#REF!</v>
      </c>
      <c r="Q113" s="59" t="e">
        <f t="shared" si="62"/>
        <v>#REF!</v>
      </c>
    </row>
    <row r="114" spans="1:17" outlineLevel="1" x14ac:dyDescent="0.25">
      <c r="A114"/>
      <c r="B114" s="18" t="s">
        <v>119</v>
      </c>
      <c r="C114" t="s">
        <v>302</v>
      </c>
      <c r="D114" s="84">
        <v>0</v>
      </c>
      <c r="E114"/>
      <c r="F114" s="59" t="e">
        <f t="shared" si="62"/>
        <v>#REF!</v>
      </c>
      <c r="G114" s="59" t="e">
        <f t="shared" si="62"/>
        <v>#REF!</v>
      </c>
      <c r="H114" s="59" t="e">
        <f t="shared" si="62"/>
        <v>#REF!</v>
      </c>
      <c r="I114" s="59" t="e">
        <f t="shared" si="62"/>
        <v>#REF!</v>
      </c>
      <c r="J114" s="59" t="e">
        <f t="shared" si="62"/>
        <v>#REF!</v>
      </c>
      <c r="K114" s="59" t="e">
        <f t="shared" si="62"/>
        <v>#REF!</v>
      </c>
      <c r="L114" s="59" t="e">
        <f t="shared" si="62"/>
        <v>#REF!</v>
      </c>
      <c r="M114" s="59" t="e">
        <f t="shared" si="62"/>
        <v>#REF!</v>
      </c>
      <c r="N114" s="59" t="e">
        <f t="shared" si="62"/>
        <v>#REF!</v>
      </c>
      <c r="O114" s="59" t="e">
        <f t="shared" si="62"/>
        <v>#REF!</v>
      </c>
      <c r="P114" s="59" t="e">
        <f t="shared" si="62"/>
        <v>#REF!</v>
      </c>
      <c r="Q114" s="59" t="e">
        <f t="shared" si="62"/>
        <v>#REF!</v>
      </c>
    </row>
    <row r="115" spans="1:17" outlineLevel="1" x14ac:dyDescent="0.25">
      <c r="A115"/>
      <c r="B115" s="18" t="s">
        <v>121</v>
      </c>
      <c r="C115" t="s">
        <v>305</v>
      </c>
      <c r="D115" s="84">
        <v>0</v>
      </c>
      <c r="E115"/>
      <c r="F115" s="59" t="e">
        <f t="shared" ref="F115:Q115" si="63">IF(F$169&gt;0,$D115*(1+F$9),0)*12</f>
        <v>#REF!</v>
      </c>
      <c r="G115" s="59" t="e">
        <f t="shared" si="63"/>
        <v>#REF!</v>
      </c>
      <c r="H115" s="59" t="e">
        <f t="shared" si="63"/>
        <v>#REF!</v>
      </c>
      <c r="I115" s="59" t="e">
        <f t="shared" si="63"/>
        <v>#REF!</v>
      </c>
      <c r="J115" s="59" t="e">
        <f t="shared" si="63"/>
        <v>#REF!</v>
      </c>
      <c r="K115" s="59" t="e">
        <f t="shared" si="63"/>
        <v>#REF!</v>
      </c>
      <c r="L115" s="59" t="e">
        <f t="shared" si="63"/>
        <v>#REF!</v>
      </c>
      <c r="M115" s="59" t="e">
        <f t="shared" si="63"/>
        <v>#REF!</v>
      </c>
      <c r="N115" s="59" t="e">
        <f t="shared" si="63"/>
        <v>#REF!</v>
      </c>
      <c r="O115" s="59" t="e">
        <f t="shared" si="63"/>
        <v>#REF!</v>
      </c>
      <c r="P115" s="59" t="e">
        <f t="shared" si="63"/>
        <v>#REF!</v>
      </c>
      <c r="Q115" s="59" t="e">
        <f t="shared" si="63"/>
        <v>#REF!</v>
      </c>
    </row>
    <row r="116" spans="1:17" outlineLevel="1" x14ac:dyDescent="0.25">
      <c r="A116"/>
      <c r="B116" s="18" t="s">
        <v>176</v>
      </c>
      <c r="C116" t="s">
        <v>302</v>
      </c>
      <c r="D116" s="84">
        <v>0</v>
      </c>
      <c r="E116"/>
      <c r="F116" s="59" t="e">
        <f t="shared" ref="F116:Q116" si="64">IF(F$169&gt;0,$D116*(1+F$9),0)</f>
        <v>#REF!</v>
      </c>
      <c r="G116" s="59" t="e">
        <f t="shared" si="64"/>
        <v>#REF!</v>
      </c>
      <c r="H116" s="59" t="e">
        <f t="shared" si="64"/>
        <v>#REF!</v>
      </c>
      <c r="I116" s="59" t="e">
        <f t="shared" si="64"/>
        <v>#REF!</v>
      </c>
      <c r="J116" s="59" t="e">
        <f t="shared" si="64"/>
        <v>#REF!</v>
      </c>
      <c r="K116" s="59" t="e">
        <f t="shared" si="64"/>
        <v>#REF!</v>
      </c>
      <c r="L116" s="59" t="e">
        <f t="shared" si="64"/>
        <v>#REF!</v>
      </c>
      <c r="M116" s="59" t="e">
        <f t="shared" si="64"/>
        <v>#REF!</v>
      </c>
      <c r="N116" s="59" t="e">
        <f t="shared" si="64"/>
        <v>#REF!</v>
      </c>
      <c r="O116" s="59" t="e">
        <f t="shared" si="64"/>
        <v>#REF!</v>
      </c>
      <c r="P116" s="59" t="e">
        <f t="shared" si="64"/>
        <v>#REF!</v>
      </c>
      <c r="Q116" s="59" t="e">
        <f t="shared" si="64"/>
        <v>#REF!</v>
      </c>
    </row>
    <row r="117" spans="1:17" outlineLevel="1" x14ac:dyDescent="0.25">
      <c r="A117"/>
      <c r="B117" s="18" t="s">
        <v>175</v>
      </c>
      <c r="C117" t="s">
        <v>306</v>
      </c>
      <c r="D117" s="84">
        <v>400</v>
      </c>
      <c r="E117"/>
      <c r="F117" s="59" t="e">
        <f>$D117*F$169*(1+F$9)</f>
        <v>#REF!</v>
      </c>
      <c r="G117" s="59" t="e">
        <f>$D117*G$169*(1+G$9)</f>
        <v>#REF!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1:17" ht="30" outlineLevel="1" x14ac:dyDescent="0.25">
      <c r="A118"/>
      <c r="B118" s="18" t="s">
        <v>199</v>
      </c>
      <c r="C118" s="148" t="s">
        <v>297</v>
      </c>
      <c r="D118" s="84">
        <f>50319/450</f>
        <v>111.82</v>
      </c>
      <c r="E118"/>
      <c r="F118" s="59" t="e">
        <f>IF(F$169&gt;0,($D118*F$169)*(1+F$9),0)</f>
        <v>#REF!</v>
      </c>
      <c r="G118" s="59" t="e">
        <f>IF(G$169&gt;0,($D118*G$169)*(1+G$9),0)</f>
        <v>#REF!</v>
      </c>
      <c r="H118" s="59" t="e">
        <f>IF(H$169&gt;0,($D118*H$169)*(1+H$9),0)*0.9</f>
        <v>#REF!</v>
      </c>
      <c r="I118" s="59" t="e">
        <f t="shared" ref="I118:Q118" si="65">IF(I$169&gt;0,($D118*I$169)*(1+I$9),0)*0.9</f>
        <v>#REF!</v>
      </c>
      <c r="J118" s="59" t="e">
        <f t="shared" si="65"/>
        <v>#REF!</v>
      </c>
      <c r="K118" s="59" t="e">
        <f t="shared" si="65"/>
        <v>#REF!</v>
      </c>
      <c r="L118" s="59" t="e">
        <f t="shared" si="65"/>
        <v>#REF!</v>
      </c>
      <c r="M118" s="59" t="e">
        <f t="shared" si="65"/>
        <v>#REF!</v>
      </c>
      <c r="N118" s="59" t="e">
        <f t="shared" si="65"/>
        <v>#REF!</v>
      </c>
      <c r="O118" s="59" t="e">
        <f t="shared" si="65"/>
        <v>#REF!</v>
      </c>
      <c r="P118" s="59" t="e">
        <f t="shared" si="65"/>
        <v>#REF!</v>
      </c>
      <c r="Q118" s="59" t="e">
        <f t="shared" si="65"/>
        <v>#REF!</v>
      </c>
    </row>
    <row r="119" spans="1:17" outlineLevel="1" x14ac:dyDescent="0.25">
      <c r="A119"/>
      <c r="B119" s="18" t="s">
        <v>201</v>
      </c>
      <c r="C119" t="s">
        <v>94</v>
      </c>
      <c r="D119" s="86">
        <f>787.5/450</f>
        <v>1.75</v>
      </c>
      <c r="E119"/>
      <c r="F119" s="59" t="e">
        <f t="shared" ref="F119:Q119" si="66">$D119*F$169*(1+F$9)</f>
        <v>#REF!</v>
      </c>
      <c r="G119" s="59" t="e">
        <f t="shared" si="66"/>
        <v>#REF!</v>
      </c>
      <c r="H119" s="59" t="e">
        <f t="shared" si="66"/>
        <v>#REF!</v>
      </c>
      <c r="I119" s="59" t="e">
        <f t="shared" si="66"/>
        <v>#REF!</v>
      </c>
      <c r="J119" s="59" t="e">
        <f t="shared" si="66"/>
        <v>#REF!</v>
      </c>
      <c r="K119" s="59" t="e">
        <f t="shared" si="66"/>
        <v>#REF!</v>
      </c>
      <c r="L119" s="59" t="e">
        <f t="shared" si="66"/>
        <v>#REF!</v>
      </c>
      <c r="M119" s="59" t="e">
        <f t="shared" si="66"/>
        <v>#REF!</v>
      </c>
      <c r="N119" s="59" t="e">
        <f t="shared" si="66"/>
        <v>#REF!</v>
      </c>
      <c r="O119" s="59" t="e">
        <f t="shared" si="66"/>
        <v>#REF!</v>
      </c>
      <c r="P119" s="59" t="e">
        <f t="shared" si="66"/>
        <v>#REF!</v>
      </c>
      <c r="Q119" s="59" t="e">
        <f t="shared" si="66"/>
        <v>#REF!</v>
      </c>
    </row>
    <row r="120" spans="1:17" outlineLevel="1" x14ac:dyDescent="0.25">
      <c r="A120"/>
      <c r="B120" s="18" t="s">
        <v>202</v>
      </c>
      <c r="C120" t="s">
        <v>45</v>
      </c>
      <c r="D120" s="84">
        <v>3607</v>
      </c>
      <c r="E120"/>
      <c r="F120" s="59" t="e">
        <f t="shared" ref="F120:Q120" si="67">IF(F$169&gt;0,$D120*(1+F$9),0)</f>
        <v>#REF!</v>
      </c>
      <c r="G120" s="59" t="e">
        <f t="shared" si="67"/>
        <v>#REF!</v>
      </c>
      <c r="H120" s="59" t="e">
        <f t="shared" si="67"/>
        <v>#REF!</v>
      </c>
      <c r="I120" s="59" t="e">
        <f t="shared" si="67"/>
        <v>#REF!</v>
      </c>
      <c r="J120" s="59" t="e">
        <f t="shared" si="67"/>
        <v>#REF!</v>
      </c>
      <c r="K120" s="59" t="e">
        <f t="shared" si="67"/>
        <v>#REF!</v>
      </c>
      <c r="L120" s="59" t="e">
        <f t="shared" si="67"/>
        <v>#REF!</v>
      </c>
      <c r="M120" s="59" t="e">
        <f t="shared" si="67"/>
        <v>#REF!</v>
      </c>
      <c r="N120" s="59" t="e">
        <f t="shared" si="67"/>
        <v>#REF!</v>
      </c>
      <c r="O120" s="59" t="e">
        <f t="shared" si="67"/>
        <v>#REF!</v>
      </c>
      <c r="P120" s="59" t="e">
        <f t="shared" si="67"/>
        <v>#REF!</v>
      </c>
      <c r="Q120" s="59" t="e">
        <f t="shared" si="67"/>
        <v>#REF!</v>
      </c>
    </row>
    <row r="121" spans="1:17" ht="30" outlineLevel="1" x14ac:dyDescent="0.25">
      <c r="A121"/>
      <c r="B121" s="18" t="s">
        <v>200</v>
      </c>
      <c r="C121" s="148" t="s">
        <v>297</v>
      </c>
      <c r="D121" s="84">
        <f>4580/450</f>
        <v>10.177777777777777</v>
      </c>
      <c r="E121"/>
      <c r="F121" s="59" t="e">
        <f>IF(F$169&gt;0,($D121*F$169)*(1+F$9),0)</f>
        <v>#REF!</v>
      </c>
      <c r="G121" s="59" t="e">
        <f>IF(G$169&gt;0,($D121*G$169)*(1+G$9),0)</f>
        <v>#REF!</v>
      </c>
      <c r="H121" s="59" t="e">
        <f>IF(H$169&gt;0,($D121*H$169)*(1+H$9),0)*0.9</f>
        <v>#REF!</v>
      </c>
      <c r="I121" s="59" t="e">
        <f t="shared" ref="I121:Q121" si="68">IF(I$169&gt;0,($D121*I$169)*(1+I$9),0)*0.9</f>
        <v>#REF!</v>
      </c>
      <c r="J121" s="59" t="e">
        <f t="shared" si="68"/>
        <v>#REF!</v>
      </c>
      <c r="K121" s="59" t="e">
        <f t="shared" si="68"/>
        <v>#REF!</v>
      </c>
      <c r="L121" s="59" t="e">
        <f t="shared" si="68"/>
        <v>#REF!</v>
      </c>
      <c r="M121" s="59" t="e">
        <f t="shared" si="68"/>
        <v>#REF!</v>
      </c>
      <c r="N121" s="59" t="e">
        <f t="shared" si="68"/>
        <v>#REF!</v>
      </c>
      <c r="O121" s="59" t="e">
        <f t="shared" si="68"/>
        <v>#REF!</v>
      </c>
      <c r="P121" s="59" t="e">
        <f t="shared" si="68"/>
        <v>#REF!</v>
      </c>
      <c r="Q121" s="59" t="e">
        <f t="shared" si="68"/>
        <v>#REF!</v>
      </c>
    </row>
    <row r="122" spans="1:17" outlineLevel="1" x14ac:dyDescent="0.25">
      <c r="A122"/>
      <c r="B122" s="18" t="s">
        <v>120</v>
      </c>
      <c r="C122" t="s">
        <v>45</v>
      </c>
      <c r="D122" s="84">
        <v>5000</v>
      </c>
      <c r="E122"/>
      <c r="F122" s="52" t="e">
        <f t="shared" ref="F122:Q122" si="69">IF(F$169&gt;0,$D122*(1+F$9),0)</f>
        <v>#REF!</v>
      </c>
      <c r="G122" s="52" t="e">
        <f t="shared" si="69"/>
        <v>#REF!</v>
      </c>
      <c r="H122" s="52" t="e">
        <f t="shared" si="69"/>
        <v>#REF!</v>
      </c>
      <c r="I122" s="52" t="e">
        <f t="shared" si="69"/>
        <v>#REF!</v>
      </c>
      <c r="J122" s="52" t="e">
        <f t="shared" si="69"/>
        <v>#REF!</v>
      </c>
      <c r="K122" s="52" t="e">
        <f t="shared" si="69"/>
        <v>#REF!</v>
      </c>
      <c r="L122" s="52" t="e">
        <f t="shared" si="69"/>
        <v>#REF!</v>
      </c>
      <c r="M122" s="52" t="e">
        <f t="shared" si="69"/>
        <v>#REF!</v>
      </c>
      <c r="N122" s="52" t="e">
        <f t="shared" si="69"/>
        <v>#REF!</v>
      </c>
      <c r="O122" s="52" t="e">
        <f t="shared" si="69"/>
        <v>#REF!</v>
      </c>
      <c r="P122" s="52" t="e">
        <f t="shared" si="69"/>
        <v>#REF!</v>
      </c>
      <c r="Q122" s="52" t="e">
        <f t="shared" si="69"/>
        <v>#REF!</v>
      </c>
    </row>
    <row r="123" spans="1:17" x14ac:dyDescent="0.25">
      <c r="A123">
        <v>550</v>
      </c>
      <c r="B123" s="18" t="s">
        <v>78</v>
      </c>
      <c r="D123" s="83"/>
      <c r="E123"/>
      <c r="F123" s="48" t="e">
        <f>SUM(F113:F122)</f>
        <v>#REF!</v>
      </c>
      <c r="G123" s="48" t="e">
        <f t="shared" ref="G123:Q123" si="70">SUM(G113:G122)</f>
        <v>#REF!</v>
      </c>
      <c r="H123" s="48" t="e">
        <f t="shared" si="70"/>
        <v>#REF!</v>
      </c>
      <c r="I123" s="48" t="e">
        <f t="shared" si="70"/>
        <v>#REF!</v>
      </c>
      <c r="J123" s="48" t="e">
        <f t="shared" si="70"/>
        <v>#REF!</v>
      </c>
      <c r="K123" s="48" t="e">
        <f t="shared" si="70"/>
        <v>#REF!</v>
      </c>
      <c r="L123" s="48" t="e">
        <f t="shared" si="70"/>
        <v>#REF!</v>
      </c>
      <c r="M123" s="48" t="e">
        <f t="shared" si="70"/>
        <v>#REF!</v>
      </c>
      <c r="N123" s="48" t="e">
        <f t="shared" si="70"/>
        <v>#REF!</v>
      </c>
      <c r="O123" s="48" t="e">
        <f t="shared" si="70"/>
        <v>#REF!</v>
      </c>
      <c r="P123" s="48" t="e">
        <f t="shared" si="70"/>
        <v>#REF!</v>
      </c>
      <c r="Q123" s="48" t="e">
        <f t="shared" si="70"/>
        <v>#REF!</v>
      </c>
    </row>
    <row r="124" spans="1:17" x14ac:dyDescent="0.25">
      <c r="A124">
        <v>560</v>
      </c>
      <c r="B124" s="18" t="s">
        <v>122</v>
      </c>
      <c r="C124" t="s">
        <v>43</v>
      </c>
      <c r="D124" s="84">
        <f>5*182</f>
        <v>910</v>
      </c>
      <c r="E124"/>
      <c r="F124" s="59" t="e">
        <f t="shared" ref="F124:Q124" si="71">$D124*F$169*(1+F$9)</f>
        <v>#REF!</v>
      </c>
      <c r="G124" s="59" t="e">
        <f t="shared" si="71"/>
        <v>#REF!</v>
      </c>
      <c r="H124" s="59" t="e">
        <f t="shared" si="71"/>
        <v>#REF!</v>
      </c>
      <c r="I124" s="59" t="e">
        <f t="shared" si="71"/>
        <v>#REF!</v>
      </c>
      <c r="J124" s="59" t="e">
        <f t="shared" si="71"/>
        <v>#REF!</v>
      </c>
      <c r="K124" s="59" t="e">
        <f t="shared" si="71"/>
        <v>#REF!</v>
      </c>
      <c r="L124" s="59" t="e">
        <f t="shared" si="71"/>
        <v>#REF!</v>
      </c>
      <c r="M124" s="59" t="e">
        <f t="shared" si="71"/>
        <v>#REF!</v>
      </c>
      <c r="N124" s="59" t="e">
        <f t="shared" si="71"/>
        <v>#REF!</v>
      </c>
      <c r="O124" s="59" t="e">
        <f t="shared" si="71"/>
        <v>#REF!</v>
      </c>
      <c r="P124" s="59" t="e">
        <f t="shared" si="71"/>
        <v>#REF!</v>
      </c>
      <c r="Q124" s="59" t="e">
        <f t="shared" si="71"/>
        <v>#REF!</v>
      </c>
    </row>
    <row r="125" spans="1:17" x14ac:dyDescent="0.25">
      <c r="A125">
        <v>580</v>
      </c>
      <c r="B125" s="18" t="s">
        <v>79</v>
      </c>
      <c r="C125" t="s">
        <v>45</v>
      </c>
      <c r="D125" s="84">
        <v>2700</v>
      </c>
      <c r="E125"/>
      <c r="F125" s="59" t="e">
        <f t="shared" ref="F125:Q126" si="72">IF(F$169&gt;0,$D125*(1+F$9),0)</f>
        <v>#REF!</v>
      </c>
      <c r="G125" s="59" t="e">
        <f t="shared" si="72"/>
        <v>#REF!</v>
      </c>
      <c r="H125" s="59" t="e">
        <f t="shared" si="72"/>
        <v>#REF!</v>
      </c>
      <c r="I125" s="59" t="e">
        <f t="shared" si="72"/>
        <v>#REF!</v>
      </c>
      <c r="J125" s="59" t="e">
        <f t="shared" si="72"/>
        <v>#REF!</v>
      </c>
      <c r="K125" s="59" t="e">
        <f t="shared" si="72"/>
        <v>#REF!</v>
      </c>
      <c r="L125" s="59" t="e">
        <f t="shared" si="72"/>
        <v>#REF!</v>
      </c>
      <c r="M125" s="59" t="e">
        <f t="shared" si="72"/>
        <v>#REF!</v>
      </c>
      <c r="N125" s="59" t="e">
        <f t="shared" si="72"/>
        <v>#REF!</v>
      </c>
      <c r="O125" s="59" t="e">
        <f t="shared" si="72"/>
        <v>#REF!</v>
      </c>
      <c r="P125" s="59" t="e">
        <f t="shared" si="72"/>
        <v>#REF!</v>
      </c>
      <c r="Q125" s="59" t="e">
        <f t="shared" si="72"/>
        <v>#REF!</v>
      </c>
    </row>
    <row r="126" spans="1:17" x14ac:dyDescent="0.25">
      <c r="A126">
        <v>590</v>
      </c>
      <c r="B126" s="18" t="s">
        <v>44</v>
      </c>
      <c r="C126" t="s">
        <v>45</v>
      </c>
      <c r="D126" s="84">
        <v>15000</v>
      </c>
      <c r="E126"/>
      <c r="F126" s="59" t="e">
        <f t="shared" si="72"/>
        <v>#REF!</v>
      </c>
      <c r="G126" s="59" t="e">
        <f t="shared" si="72"/>
        <v>#REF!</v>
      </c>
      <c r="H126" s="59" t="e">
        <f t="shared" si="72"/>
        <v>#REF!</v>
      </c>
      <c r="I126" s="59" t="e">
        <f t="shared" si="72"/>
        <v>#REF!</v>
      </c>
      <c r="J126" s="59" t="e">
        <f t="shared" si="72"/>
        <v>#REF!</v>
      </c>
      <c r="K126" s="59" t="e">
        <f t="shared" si="72"/>
        <v>#REF!</v>
      </c>
      <c r="L126" s="59" t="e">
        <f t="shared" si="72"/>
        <v>#REF!</v>
      </c>
      <c r="M126" s="59" t="e">
        <f t="shared" si="72"/>
        <v>#REF!</v>
      </c>
      <c r="N126" s="59" t="e">
        <f t="shared" si="72"/>
        <v>#REF!</v>
      </c>
      <c r="O126" s="59" t="e">
        <f t="shared" si="72"/>
        <v>#REF!</v>
      </c>
      <c r="P126" s="59" t="e">
        <f t="shared" si="72"/>
        <v>#REF!</v>
      </c>
      <c r="Q126" s="59" t="e">
        <f t="shared" si="72"/>
        <v>#REF!</v>
      </c>
    </row>
    <row r="127" spans="1:17" x14ac:dyDescent="0.25">
      <c r="A127">
        <v>600</v>
      </c>
      <c r="B127" s="18" t="s">
        <v>80</v>
      </c>
      <c r="D127" s="83"/>
      <c r="E127"/>
    </row>
    <row r="128" spans="1:17" x14ac:dyDescent="0.25">
      <c r="A128">
        <v>700</v>
      </c>
      <c r="B128" s="18" t="s">
        <v>81</v>
      </c>
      <c r="D128" s="83"/>
      <c r="E128"/>
    </row>
    <row r="129" spans="1:17" x14ac:dyDescent="0.25">
      <c r="A129">
        <v>750</v>
      </c>
      <c r="B129" s="18" t="s">
        <v>82</v>
      </c>
      <c r="D129" s="83"/>
      <c r="E129"/>
    </row>
    <row r="130" spans="1:17" outlineLevel="1" x14ac:dyDescent="0.25">
      <c r="A130"/>
      <c r="B130" s="18" t="s">
        <v>123</v>
      </c>
      <c r="C130" t="s">
        <v>301</v>
      </c>
      <c r="D130" s="84">
        <v>0</v>
      </c>
      <c r="E130"/>
      <c r="F130" s="59" t="e">
        <f t="shared" ref="F130:Q131" si="73">IF(F$169&gt;0,$D130*(1+F$9),0)</f>
        <v>#REF!</v>
      </c>
      <c r="G130" s="59" t="e">
        <f t="shared" si="73"/>
        <v>#REF!</v>
      </c>
      <c r="H130" s="59" t="e">
        <f t="shared" si="73"/>
        <v>#REF!</v>
      </c>
      <c r="I130" s="59" t="e">
        <f t="shared" si="73"/>
        <v>#REF!</v>
      </c>
      <c r="J130" s="59" t="e">
        <f t="shared" si="73"/>
        <v>#REF!</v>
      </c>
      <c r="K130" s="59" t="e">
        <f t="shared" si="73"/>
        <v>#REF!</v>
      </c>
      <c r="L130" s="59" t="e">
        <f t="shared" si="73"/>
        <v>#REF!</v>
      </c>
      <c r="M130" s="59" t="e">
        <f t="shared" si="73"/>
        <v>#REF!</v>
      </c>
      <c r="N130" s="59" t="e">
        <f t="shared" si="73"/>
        <v>#REF!</v>
      </c>
      <c r="O130" s="59" t="e">
        <f t="shared" si="73"/>
        <v>#REF!</v>
      </c>
      <c r="P130" s="59" t="e">
        <f t="shared" si="73"/>
        <v>#REF!</v>
      </c>
      <c r="Q130" s="59" t="e">
        <f t="shared" si="73"/>
        <v>#REF!</v>
      </c>
    </row>
    <row r="131" spans="1:17" outlineLevel="1" x14ac:dyDescent="0.25">
      <c r="A131"/>
      <c r="B131" s="18" t="s">
        <v>124</v>
      </c>
      <c r="C131" t="s">
        <v>132</v>
      </c>
      <c r="D131" s="84">
        <v>1950</v>
      </c>
      <c r="E131"/>
      <c r="F131" s="59" t="e">
        <f t="shared" si="73"/>
        <v>#REF!</v>
      </c>
      <c r="G131" s="59" t="e">
        <f t="shared" si="73"/>
        <v>#REF!</v>
      </c>
      <c r="H131" s="59" t="e">
        <f t="shared" si="73"/>
        <v>#REF!</v>
      </c>
      <c r="I131" s="59" t="e">
        <f t="shared" si="73"/>
        <v>#REF!</v>
      </c>
      <c r="J131" s="59" t="e">
        <f t="shared" si="73"/>
        <v>#REF!</v>
      </c>
      <c r="K131" s="59" t="e">
        <f t="shared" si="73"/>
        <v>#REF!</v>
      </c>
      <c r="L131" s="59" t="e">
        <f t="shared" si="73"/>
        <v>#REF!</v>
      </c>
      <c r="M131" s="59" t="e">
        <f t="shared" si="73"/>
        <v>#REF!</v>
      </c>
      <c r="N131" s="59" t="e">
        <f t="shared" si="73"/>
        <v>#REF!</v>
      </c>
      <c r="O131" s="59" t="e">
        <f t="shared" si="73"/>
        <v>#REF!</v>
      </c>
      <c r="P131" s="59" t="e">
        <f t="shared" si="73"/>
        <v>#REF!</v>
      </c>
      <c r="Q131" s="59" t="e">
        <f t="shared" si="73"/>
        <v>#REF!</v>
      </c>
    </row>
    <row r="132" spans="1:17" outlineLevel="1" x14ac:dyDescent="0.25">
      <c r="A132"/>
      <c r="B132" s="18" t="s">
        <v>124</v>
      </c>
      <c r="C132" t="s">
        <v>131</v>
      </c>
      <c r="D132" s="86">
        <f>731/451</f>
        <v>1.6208425720620843</v>
      </c>
      <c r="E132"/>
      <c r="F132" s="59" t="e">
        <f t="shared" ref="F132:Q132" si="74">$D132*F$169*(1+F$9)*4</f>
        <v>#REF!</v>
      </c>
      <c r="G132" s="59" t="e">
        <f t="shared" si="74"/>
        <v>#REF!</v>
      </c>
      <c r="H132" s="59" t="e">
        <f t="shared" si="74"/>
        <v>#REF!</v>
      </c>
      <c r="I132" s="59" t="e">
        <f t="shared" si="74"/>
        <v>#REF!</v>
      </c>
      <c r="J132" s="59" t="e">
        <f t="shared" si="74"/>
        <v>#REF!</v>
      </c>
      <c r="K132" s="59" t="e">
        <f t="shared" si="74"/>
        <v>#REF!</v>
      </c>
      <c r="L132" s="59" t="e">
        <f t="shared" si="74"/>
        <v>#REF!</v>
      </c>
      <c r="M132" s="59" t="e">
        <f t="shared" si="74"/>
        <v>#REF!</v>
      </c>
      <c r="N132" s="59" t="e">
        <f t="shared" si="74"/>
        <v>#REF!</v>
      </c>
      <c r="O132" s="59" t="e">
        <f t="shared" si="74"/>
        <v>#REF!</v>
      </c>
      <c r="P132" s="59" t="e">
        <f t="shared" si="74"/>
        <v>#REF!</v>
      </c>
      <c r="Q132" s="59" t="e">
        <f t="shared" si="74"/>
        <v>#REF!</v>
      </c>
    </row>
    <row r="133" spans="1:17" outlineLevel="1" x14ac:dyDescent="0.25">
      <c r="A133"/>
      <c r="B133" s="18" t="s">
        <v>125</v>
      </c>
      <c r="C133" t="s">
        <v>126</v>
      </c>
      <c r="D133" s="84">
        <v>3600</v>
      </c>
      <c r="E133"/>
      <c r="F133" s="59" t="e">
        <f t="shared" ref="F133:Q135" si="75">IF(F$169&gt;0,$D133*(1+F$9),0)</f>
        <v>#REF!</v>
      </c>
      <c r="G133" s="59" t="e">
        <f t="shared" si="75"/>
        <v>#REF!</v>
      </c>
      <c r="H133" s="59" t="e">
        <f t="shared" si="75"/>
        <v>#REF!</v>
      </c>
      <c r="I133" s="59" t="e">
        <f t="shared" si="75"/>
        <v>#REF!</v>
      </c>
      <c r="J133" s="59" t="e">
        <f t="shared" si="75"/>
        <v>#REF!</v>
      </c>
      <c r="K133" s="59" t="e">
        <f t="shared" si="75"/>
        <v>#REF!</v>
      </c>
      <c r="L133" s="59" t="e">
        <f t="shared" si="75"/>
        <v>#REF!</v>
      </c>
      <c r="M133" s="59" t="e">
        <f t="shared" si="75"/>
        <v>#REF!</v>
      </c>
      <c r="N133" s="59" t="e">
        <f t="shared" si="75"/>
        <v>#REF!</v>
      </c>
      <c r="O133" s="59" t="e">
        <f t="shared" si="75"/>
        <v>#REF!</v>
      </c>
      <c r="P133" s="59" t="e">
        <f t="shared" si="75"/>
        <v>#REF!</v>
      </c>
      <c r="Q133" s="59" t="e">
        <f t="shared" si="75"/>
        <v>#REF!</v>
      </c>
    </row>
    <row r="134" spans="1:17" outlineLevel="1" x14ac:dyDescent="0.25">
      <c r="A134"/>
      <c r="B134" s="18" t="s">
        <v>127</v>
      </c>
      <c r="C134" t="s">
        <v>128</v>
      </c>
      <c r="D134" s="84">
        <v>5400</v>
      </c>
      <c r="E134"/>
      <c r="F134" s="59" t="e">
        <f t="shared" si="75"/>
        <v>#REF!</v>
      </c>
      <c r="G134" s="59" t="e">
        <f t="shared" si="75"/>
        <v>#REF!</v>
      </c>
      <c r="H134" s="59" t="e">
        <f t="shared" si="75"/>
        <v>#REF!</v>
      </c>
      <c r="I134" s="59" t="e">
        <f t="shared" si="75"/>
        <v>#REF!</v>
      </c>
      <c r="J134" s="59" t="e">
        <f t="shared" si="75"/>
        <v>#REF!</v>
      </c>
      <c r="K134" s="59" t="e">
        <f t="shared" si="75"/>
        <v>#REF!</v>
      </c>
      <c r="L134" s="59" t="e">
        <f t="shared" si="75"/>
        <v>#REF!</v>
      </c>
      <c r="M134" s="59" t="e">
        <f t="shared" si="75"/>
        <v>#REF!</v>
      </c>
      <c r="N134" s="59" t="e">
        <f t="shared" si="75"/>
        <v>#REF!</v>
      </c>
      <c r="O134" s="59" t="e">
        <f t="shared" si="75"/>
        <v>#REF!</v>
      </c>
      <c r="P134" s="59" t="e">
        <f t="shared" si="75"/>
        <v>#REF!</v>
      </c>
      <c r="Q134" s="59" t="e">
        <f t="shared" si="75"/>
        <v>#REF!</v>
      </c>
    </row>
    <row r="135" spans="1:17" outlineLevel="1" x14ac:dyDescent="0.25">
      <c r="A135"/>
      <c r="B135" s="18" t="s">
        <v>129</v>
      </c>
      <c r="C135" t="s">
        <v>184</v>
      </c>
      <c r="D135" s="84">
        <v>904</v>
      </c>
      <c r="E135"/>
      <c r="F135" s="59" t="e">
        <f t="shared" si="75"/>
        <v>#REF!</v>
      </c>
      <c r="G135" s="59" t="e">
        <f t="shared" si="75"/>
        <v>#REF!</v>
      </c>
      <c r="H135" s="59" t="e">
        <f t="shared" si="75"/>
        <v>#REF!</v>
      </c>
      <c r="I135" s="59" t="e">
        <f t="shared" si="75"/>
        <v>#REF!</v>
      </c>
      <c r="J135" s="59" t="e">
        <f t="shared" si="75"/>
        <v>#REF!</v>
      </c>
      <c r="K135" s="59" t="e">
        <f t="shared" si="75"/>
        <v>#REF!</v>
      </c>
      <c r="L135" s="59" t="e">
        <f t="shared" si="75"/>
        <v>#REF!</v>
      </c>
      <c r="M135" s="59" t="e">
        <f t="shared" si="75"/>
        <v>#REF!</v>
      </c>
      <c r="N135" s="59" t="e">
        <f t="shared" si="75"/>
        <v>#REF!</v>
      </c>
      <c r="O135" s="59" t="e">
        <f t="shared" si="75"/>
        <v>#REF!</v>
      </c>
      <c r="P135" s="59" t="e">
        <f t="shared" si="75"/>
        <v>#REF!</v>
      </c>
      <c r="Q135" s="59" t="e">
        <f t="shared" si="75"/>
        <v>#REF!</v>
      </c>
    </row>
    <row r="136" spans="1:17" outlineLevel="1" x14ac:dyDescent="0.25">
      <c r="A136"/>
      <c r="B136" s="18" t="s">
        <v>191</v>
      </c>
      <c r="C136" t="s">
        <v>112</v>
      </c>
      <c r="D136" s="84">
        <v>135</v>
      </c>
      <c r="E136"/>
      <c r="F136" s="59" t="e">
        <f t="shared" ref="F136:Q138" si="76">IF(F$169&gt;0,$D136*(1+F$9),0)*12</f>
        <v>#REF!</v>
      </c>
      <c r="G136" s="59" t="e">
        <f t="shared" si="76"/>
        <v>#REF!</v>
      </c>
      <c r="H136" s="59" t="e">
        <f t="shared" si="76"/>
        <v>#REF!</v>
      </c>
      <c r="I136" s="59" t="e">
        <f t="shared" si="76"/>
        <v>#REF!</v>
      </c>
      <c r="J136" s="59" t="e">
        <f t="shared" si="76"/>
        <v>#REF!</v>
      </c>
      <c r="K136" s="59" t="e">
        <f t="shared" si="76"/>
        <v>#REF!</v>
      </c>
      <c r="L136" s="59" t="e">
        <f t="shared" si="76"/>
        <v>#REF!</v>
      </c>
      <c r="M136" s="59" t="e">
        <f t="shared" si="76"/>
        <v>#REF!</v>
      </c>
      <c r="N136" s="59" t="e">
        <f t="shared" si="76"/>
        <v>#REF!</v>
      </c>
      <c r="O136" s="59" t="e">
        <f t="shared" si="76"/>
        <v>#REF!</v>
      </c>
      <c r="P136" s="59" t="e">
        <f t="shared" si="76"/>
        <v>#REF!</v>
      </c>
      <c r="Q136" s="59" t="e">
        <f t="shared" si="76"/>
        <v>#REF!</v>
      </c>
    </row>
    <row r="137" spans="1:17" outlineLevel="1" x14ac:dyDescent="0.25">
      <c r="A137"/>
      <c r="B137" s="18" t="s">
        <v>193</v>
      </c>
      <c r="C137" t="s">
        <v>112</v>
      </c>
      <c r="D137" s="84">
        <v>172</v>
      </c>
      <c r="E137"/>
      <c r="F137" s="59" t="e">
        <f t="shared" si="76"/>
        <v>#REF!</v>
      </c>
      <c r="G137" s="59" t="e">
        <f t="shared" si="76"/>
        <v>#REF!</v>
      </c>
      <c r="H137" s="59" t="e">
        <f t="shared" si="76"/>
        <v>#REF!</v>
      </c>
      <c r="I137" s="59" t="e">
        <f t="shared" si="76"/>
        <v>#REF!</v>
      </c>
      <c r="J137" s="59" t="e">
        <f t="shared" si="76"/>
        <v>#REF!</v>
      </c>
      <c r="K137" s="59" t="e">
        <f t="shared" si="76"/>
        <v>#REF!</v>
      </c>
      <c r="L137" s="59" t="e">
        <f t="shared" si="76"/>
        <v>#REF!</v>
      </c>
      <c r="M137" s="59" t="e">
        <f t="shared" si="76"/>
        <v>#REF!</v>
      </c>
      <c r="N137" s="59" t="e">
        <f t="shared" si="76"/>
        <v>#REF!</v>
      </c>
      <c r="O137" s="59" t="e">
        <f t="shared" si="76"/>
        <v>#REF!</v>
      </c>
      <c r="P137" s="59" t="e">
        <f t="shared" si="76"/>
        <v>#REF!</v>
      </c>
      <c r="Q137" s="59" t="e">
        <f t="shared" si="76"/>
        <v>#REF!</v>
      </c>
    </row>
    <row r="138" spans="1:17" outlineLevel="1" x14ac:dyDescent="0.25">
      <c r="A138"/>
      <c r="B138" s="18" t="s">
        <v>192</v>
      </c>
      <c r="C138" t="s">
        <v>112</v>
      </c>
      <c r="D138" s="84">
        <v>503.84624999999994</v>
      </c>
      <c r="E138"/>
      <c r="F138" s="59" t="e">
        <f t="shared" si="76"/>
        <v>#REF!</v>
      </c>
      <c r="G138" s="59" t="e">
        <f t="shared" si="76"/>
        <v>#REF!</v>
      </c>
      <c r="H138" s="59" t="e">
        <f t="shared" si="76"/>
        <v>#REF!</v>
      </c>
      <c r="I138" s="59" t="e">
        <f t="shared" si="76"/>
        <v>#REF!</v>
      </c>
      <c r="J138" s="59" t="e">
        <f t="shared" si="76"/>
        <v>#REF!</v>
      </c>
      <c r="K138" s="59" t="e">
        <f t="shared" si="76"/>
        <v>#REF!</v>
      </c>
      <c r="L138" s="59" t="e">
        <f t="shared" si="76"/>
        <v>#REF!</v>
      </c>
      <c r="M138" s="59" t="e">
        <f t="shared" si="76"/>
        <v>#REF!</v>
      </c>
      <c r="N138" s="59" t="e">
        <f t="shared" si="76"/>
        <v>#REF!</v>
      </c>
      <c r="O138" s="59" t="e">
        <f t="shared" si="76"/>
        <v>#REF!</v>
      </c>
      <c r="P138" s="59" t="e">
        <f t="shared" si="76"/>
        <v>#REF!</v>
      </c>
      <c r="Q138" s="59" t="e">
        <f t="shared" si="76"/>
        <v>#REF!</v>
      </c>
    </row>
    <row r="139" spans="1:17" outlineLevel="1" x14ac:dyDescent="0.25">
      <c r="A139"/>
      <c r="B139" s="18" t="s">
        <v>194</v>
      </c>
      <c r="C139" t="s">
        <v>195</v>
      </c>
      <c r="D139" s="84">
        <v>75</v>
      </c>
      <c r="E139"/>
      <c r="F139" s="59" t="e">
        <f t="shared" ref="F139:Q139" si="77">$D139*12*(1+F$9)*SUM(F$188:F$190)</f>
        <v>#REF!</v>
      </c>
      <c r="G139" s="59" t="e">
        <f t="shared" si="77"/>
        <v>#REF!</v>
      </c>
      <c r="H139" s="59" t="e">
        <f t="shared" si="77"/>
        <v>#REF!</v>
      </c>
      <c r="I139" s="59" t="e">
        <f t="shared" si="77"/>
        <v>#REF!</v>
      </c>
      <c r="J139" s="59" t="e">
        <f t="shared" si="77"/>
        <v>#REF!</v>
      </c>
      <c r="K139" s="59" t="e">
        <f t="shared" si="77"/>
        <v>#REF!</v>
      </c>
      <c r="L139" s="59" t="e">
        <f t="shared" si="77"/>
        <v>#REF!</v>
      </c>
      <c r="M139" s="59" t="e">
        <f t="shared" si="77"/>
        <v>#REF!</v>
      </c>
      <c r="N139" s="59" t="e">
        <f t="shared" si="77"/>
        <v>#REF!</v>
      </c>
      <c r="O139" s="59" t="e">
        <f t="shared" si="77"/>
        <v>#REF!</v>
      </c>
      <c r="P139" s="59" t="e">
        <f t="shared" si="77"/>
        <v>#REF!</v>
      </c>
      <c r="Q139" s="59" t="e">
        <f t="shared" si="77"/>
        <v>#REF!</v>
      </c>
    </row>
    <row r="140" spans="1:17" outlineLevel="1" x14ac:dyDescent="0.25">
      <c r="A140"/>
      <c r="B140" s="18" t="s">
        <v>196</v>
      </c>
      <c r="C140" t="s">
        <v>112</v>
      </c>
      <c r="D140" s="84">
        <v>105</v>
      </c>
      <c r="E140"/>
      <c r="F140" s="59" t="e">
        <f t="shared" ref="F140:Q140" si="78">IF(F$169&gt;0,$D140*(1+F$9),0)*12</f>
        <v>#REF!</v>
      </c>
      <c r="G140" s="59" t="e">
        <f t="shared" si="78"/>
        <v>#REF!</v>
      </c>
      <c r="H140" s="59" t="e">
        <f t="shared" si="78"/>
        <v>#REF!</v>
      </c>
      <c r="I140" s="59" t="e">
        <f t="shared" si="78"/>
        <v>#REF!</v>
      </c>
      <c r="J140" s="59" t="e">
        <f t="shared" si="78"/>
        <v>#REF!</v>
      </c>
      <c r="K140" s="59" t="e">
        <f t="shared" si="78"/>
        <v>#REF!</v>
      </c>
      <c r="L140" s="59" t="e">
        <f t="shared" si="78"/>
        <v>#REF!</v>
      </c>
      <c r="M140" s="59" t="e">
        <f t="shared" si="78"/>
        <v>#REF!</v>
      </c>
      <c r="N140" s="59" t="e">
        <f t="shared" si="78"/>
        <v>#REF!</v>
      </c>
      <c r="O140" s="59" t="e">
        <f t="shared" si="78"/>
        <v>#REF!</v>
      </c>
      <c r="P140" s="59" t="e">
        <f t="shared" si="78"/>
        <v>#REF!</v>
      </c>
      <c r="Q140" s="59" t="e">
        <f t="shared" si="78"/>
        <v>#REF!</v>
      </c>
    </row>
    <row r="141" spans="1:17" outlineLevel="1" x14ac:dyDescent="0.25">
      <c r="A141"/>
      <c r="B141" s="18" t="s">
        <v>130</v>
      </c>
      <c r="C141" t="s">
        <v>304</v>
      </c>
      <c r="D141" s="84">
        <v>0</v>
      </c>
      <c r="E141"/>
      <c r="F141" s="59" t="e">
        <f t="shared" ref="F141:Q142" si="79">IF(F$169&gt;0,$D141*(1+F$9),0)</f>
        <v>#REF!</v>
      </c>
      <c r="G141" s="59" t="e">
        <f t="shared" si="79"/>
        <v>#REF!</v>
      </c>
      <c r="H141" s="59" t="e">
        <f t="shared" si="79"/>
        <v>#REF!</v>
      </c>
      <c r="I141" s="59" t="e">
        <f t="shared" si="79"/>
        <v>#REF!</v>
      </c>
      <c r="J141" s="59" t="e">
        <f t="shared" si="79"/>
        <v>#REF!</v>
      </c>
      <c r="K141" s="59" t="e">
        <f t="shared" si="79"/>
        <v>#REF!</v>
      </c>
      <c r="L141" s="59" t="e">
        <f t="shared" si="79"/>
        <v>#REF!</v>
      </c>
      <c r="M141" s="59" t="e">
        <f t="shared" si="79"/>
        <v>#REF!</v>
      </c>
      <c r="N141" s="59" t="e">
        <f t="shared" si="79"/>
        <v>#REF!</v>
      </c>
      <c r="O141" s="59" t="e">
        <f t="shared" si="79"/>
        <v>#REF!</v>
      </c>
      <c r="P141" s="59" t="e">
        <f t="shared" si="79"/>
        <v>#REF!</v>
      </c>
      <c r="Q141" s="59" t="e">
        <f t="shared" si="79"/>
        <v>#REF!</v>
      </c>
    </row>
    <row r="142" spans="1:17" outlineLevel="1" x14ac:dyDescent="0.25">
      <c r="A142"/>
      <c r="B142" s="18" t="s">
        <v>130</v>
      </c>
      <c r="C142" t="s">
        <v>303</v>
      </c>
      <c r="D142" s="84">
        <v>0</v>
      </c>
      <c r="E142"/>
      <c r="F142" s="59" t="e">
        <f t="shared" si="79"/>
        <v>#REF!</v>
      </c>
      <c r="G142" s="59" t="e">
        <f t="shared" si="79"/>
        <v>#REF!</v>
      </c>
      <c r="H142" s="59" t="e">
        <f t="shared" si="79"/>
        <v>#REF!</v>
      </c>
      <c r="I142" s="59" t="e">
        <f t="shared" si="79"/>
        <v>#REF!</v>
      </c>
      <c r="J142" s="59" t="e">
        <f t="shared" si="79"/>
        <v>#REF!</v>
      </c>
      <c r="K142" s="59" t="e">
        <f t="shared" si="79"/>
        <v>#REF!</v>
      </c>
      <c r="L142" s="59" t="e">
        <f t="shared" si="79"/>
        <v>#REF!</v>
      </c>
      <c r="M142" s="59" t="e">
        <f t="shared" si="79"/>
        <v>#REF!</v>
      </c>
      <c r="N142" s="59" t="e">
        <f t="shared" si="79"/>
        <v>#REF!</v>
      </c>
      <c r="O142" s="59" t="e">
        <f t="shared" si="79"/>
        <v>#REF!</v>
      </c>
      <c r="P142" s="59" t="e">
        <f t="shared" si="79"/>
        <v>#REF!</v>
      </c>
      <c r="Q142" s="59" t="e">
        <f t="shared" si="79"/>
        <v>#REF!</v>
      </c>
    </row>
    <row r="143" spans="1:17" outlineLevel="1" x14ac:dyDescent="0.25">
      <c r="A143"/>
      <c r="B143" s="18" t="s">
        <v>130</v>
      </c>
      <c r="C143" t="s">
        <v>190</v>
      </c>
      <c r="D143" s="84">
        <v>30</v>
      </c>
      <c r="E143"/>
      <c r="F143" s="75" t="e">
        <f t="shared" ref="F143:Q143" si="80">$D143*(1+F$9)*F$184</f>
        <v>#REF!</v>
      </c>
      <c r="G143" s="75" t="e">
        <f t="shared" si="80"/>
        <v>#REF!</v>
      </c>
      <c r="H143" s="75" t="e">
        <f t="shared" si="80"/>
        <v>#REF!</v>
      </c>
      <c r="I143" s="75" t="e">
        <f t="shared" si="80"/>
        <v>#REF!</v>
      </c>
      <c r="J143" s="75" t="e">
        <f t="shared" si="80"/>
        <v>#REF!</v>
      </c>
      <c r="K143" s="75" t="e">
        <f t="shared" si="80"/>
        <v>#REF!</v>
      </c>
      <c r="L143" s="75" t="e">
        <f t="shared" si="80"/>
        <v>#REF!</v>
      </c>
      <c r="M143" s="75" t="e">
        <f t="shared" si="80"/>
        <v>#REF!</v>
      </c>
      <c r="N143" s="75" t="e">
        <f t="shared" si="80"/>
        <v>#REF!</v>
      </c>
      <c r="O143" s="75" t="e">
        <f t="shared" si="80"/>
        <v>#REF!</v>
      </c>
      <c r="P143" s="75" t="e">
        <f t="shared" si="80"/>
        <v>#REF!</v>
      </c>
      <c r="Q143" s="75" t="e">
        <f t="shared" si="80"/>
        <v>#REF!</v>
      </c>
    </row>
    <row r="144" spans="1:17" outlineLevel="1" x14ac:dyDescent="0.25">
      <c r="A144"/>
      <c r="B144" s="18" t="s">
        <v>130</v>
      </c>
      <c r="C144" t="s">
        <v>197</v>
      </c>
      <c r="D144" s="84">
        <v>500</v>
      </c>
      <c r="E144"/>
      <c r="F144" s="59" t="e">
        <f t="shared" ref="F144:Q144" si="81">IF(F$169&gt;0,$D144*(1+F$9),0)</f>
        <v>#REF!</v>
      </c>
      <c r="G144" s="59" t="e">
        <f t="shared" si="81"/>
        <v>#REF!</v>
      </c>
      <c r="H144" s="59" t="e">
        <f t="shared" si="81"/>
        <v>#REF!</v>
      </c>
      <c r="I144" s="59" t="e">
        <f t="shared" si="81"/>
        <v>#REF!</v>
      </c>
      <c r="J144" s="59" t="e">
        <f t="shared" si="81"/>
        <v>#REF!</v>
      </c>
      <c r="K144" s="59" t="e">
        <f t="shared" si="81"/>
        <v>#REF!</v>
      </c>
      <c r="L144" s="59" t="e">
        <f t="shared" si="81"/>
        <v>#REF!</v>
      </c>
      <c r="M144" s="59" t="e">
        <f t="shared" si="81"/>
        <v>#REF!</v>
      </c>
      <c r="N144" s="59" t="e">
        <f t="shared" si="81"/>
        <v>#REF!</v>
      </c>
      <c r="O144" s="59" t="e">
        <f t="shared" si="81"/>
        <v>#REF!</v>
      </c>
      <c r="P144" s="59" t="e">
        <f t="shared" si="81"/>
        <v>#REF!</v>
      </c>
      <c r="Q144" s="59" t="e">
        <f t="shared" si="81"/>
        <v>#REF!</v>
      </c>
    </row>
    <row r="145" spans="1:17" outlineLevel="1" x14ac:dyDescent="0.25">
      <c r="A145"/>
      <c r="B145" s="18" t="s">
        <v>265</v>
      </c>
      <c r="C145" t="s">
        <v>270</v>
      </c>
      <c r="D145" s="99">
        <v>0.01</v>
      </c>
      <c r="E145"/>
      <c r="F145" s="59" t="e">
        <f t="shared" ref="F145:Q145" si="82">$D145*(F25+F38+F39)</f>
        <v>#REF!</v>
      </c>
      <c r="G145" s="59" t="e">
        <f t="shared" si="82"/>
        <v>#REF!</v>
      </c>
      <c r="H145" s="59" t="e">
        <f t="shared" si="82"/>
        <v>#REF!</v>
      </c>
      <c r="I145" s="59" t="e">
        <f t="shared" si="82"/>
        <v>#REF!</v>
      </c>
      <c r="J145" s="59" t="e">
        <f t="shared" si="82"/>
        <v>#REF!</v>
      </c>
      <c r="K145" s="59" t="e">
        <f t="shared" si="82"/>
        <v>#REF!</v>
      </c>
      <c r="L145" s="59" t="e">
        <f t="shared" si="82"/>
        <v>#REF!</v>
      </c>
      <c r="M145" s="59" t="e">
        <f t="shared" si="82"/>
        <v>#REF!</v>
      </c>
      <c r="N145" s="59" t="e">
        <f t="shared" si="82"/>
        <v>#REF!</v>
      </c>
      <c r="O145" s="59" t="e">
        <f t="shared" si="82"/>
        <v>#REF!</v>
      </c>
      <c r="P145" s="59" t="e">
        <f t="shared" si="82"/>
        <v>#REF!</v>
      </c>
      <c r="Q145" s="59" t="e">
        <f t="shared" si="82"/>
        <v>#REF!</v>
      </c>
    </row>
    <row r="146" spans="1:17" outlineLevel="1" x14ac:dyDescent="0.25">
      <c r="A146"/>
      <c r="B146" s="18" t="s">
        <v>181</v>
      </c>
      <c r="C146" t="s">
        <v>182</v>
      </c>
      <c r="D146" s="99">
        <v>0.09</v>
      </c>
      <c r="E146"/>
      <c r="F146" s="49" t="e">
        <f>$D146*(F$53-F$51-F$50)</f>
        <v>#REF!</v>
      </c>
      <c r="G146" s="49" t="e">
        <f t="shared" ref="G146:Q146" si="83">$D146*(G$53-G$51-G$50)</f>
        <v>#REF!</v>
      </c>
      <c r="H146" s="49" t="e">
        <f t="shared" si="83"/>
        <v>#REF!</v>
      </c>
      <c r="I146" s="49" t="e">
        <f t="shared" si="83"/>
        <v>#REF!</v>
      </c>
      <c r="J146" s="49" t="e">
        <f t="shared" si="83"/>
        <v>#REF!</v>
      </c>
      <c r="K146" s="49" t="e">
        <f t="shared" si="83"/>
        <v>#REF!</v>
      </c>
      <c r="L146" s="49" t="e">
        <f t="shared" si="83"/>
        <v>#REF!</v>
      </c>
      <c r="M146" s="49" t="e">
        <f t="shared" si="83"/>
        <v>#REF!</v>
      </c>
      <c r="N146" s="49" t="e">
        <f t="shared" si="83"/>
        <v>#REF!</v>
      </c>
      <c r="O146" s="49" t="e">
        <f t="shared" si="83"/>
        <v>#REF!</v>
      </c>
      <c r="P146" s="49" t="e">
        <f t="shared" si="83"/>
        <v>#REF!</v>
      </c>
      <c r="Q146" s="49" t="e">
        <f t="shared" si="83"/>
        <v>#REF!</v>
      </c>
    </row>
    <row r="147" spans="1:17" x14ac:dyDescent="0.25">
      <c r="A147">
        <v>800</v>
      </c>
      <c r="B147" s="18" t="s">
        <v>83</v>
      </c>
      <c r="D147" s="60"/>
      <c r="E147"/>
      <c r="F147" s="48" t="e">
        <f t="shared" ref="F147:Q147" si="84">SUM(F130:F146)</f>
        <v>#REF!</v>
      </c>
      <c r="G147" s="48" t="e">
        <f t="shared" si="84"/>
        <v>#REF!</v>
      </c>
      <c r="H147" s="48" t="e">
        <f t="shared" si="84"/>
        <v>#REF!</v>
      </c>
      <c r="I147" s="48" t="e">
        <f t="shared" si="84"/>
        <v>#REF!</v>
      </c>
      <c r="J147" s="48" t="e">
        <f t="shared" si="84"/>
        <v>#REF!</v>
      </c>
      <c r="K147" s="48" t="e">
        <f t="shared" si="84"/>
        <v>#REF!</v>
      </c>
      <c r="L147" s="48" t="e">
        <f t="shared" si="84"/>
        <v>#REF!</v>
      </c>
      <c r="M147" s="48" t="e">
        <f t="shared" si="84"/>
        <v>#REF!</v>
      </c>
      <c r="N147" s="48" t="e">
        <f t="shared" si="84"/>
        <v>#REF!</v>
      </c>
      <c r="O147" s="48" t="e">
        <f t="shared" si="84"/>
        <v>#REF!</v>
      </c>
      <c r="P147" s="48" t="e">
        <f t="shared" si="84"/>
        <v>#REF!</v>
      </c>
      <c r="Q147" s="48" t="e">
        <f t="shared" si="84"/>
        <v>#REF!</v>
      </c>
    </row>
    <row r="148" spans="1:17" x14ac:dyDescent="0.25">
      <c r="A148">
        <v>850</v>
      </c>
      <c r="B148" s="18" t="s">
        <v>84</v>
      </c>
      <c r="C148" t="s">
        <v>302</v>
      </c>
      <c r="D148" s="84"/>
      <c r="E148"/>
      <c r="F148" s="59" t="e">
        <f t="shared" ref="F148:Q148" si="85">IF(F$169&gt;0,$D148*(1+F$9),0)</f>
        <v>#REF!</v>
      </c>
      <c r="G148" s="59" t="e">
        <f t="shared" si="85"/>
        <v>#REF!</v>
      </c>
      <c r="H148" s="59" t="e">
        <f t="shared" si="85"/>
        <v>#REF!</v>
      </c>
      <c r="I148" s="59" t="e">
        <f t="shared" si="85"/>
        <v>#REF!</v>
      </c>
      <c r="J148" s="59" t="e">
        <f t="shared" si="85"/>
        <v>#REF!</v>
      </c>
      <c r="K148" s="59" t="e">
        <f t="shared" si="85"/>
        <v>#REF!</v>
      </c>
      <c r="L148" s="59" t="e">
        <f t="shared" si="85"/>
        <v>#REF!</v>
      </c>
      <c r="M148" s="59" t="e">
        <f t="shared" si="85"/>
        <v>#REF!</v>
      </c>
      <c r="N148" s="59" t="e">
        <f t="shared" si="85"/>
        <v>#REF!</v>
      </c>
      <c r="O148" s="59" t="e">
        <f t="shared" si="85"/>
        <v>#REF!</v>
      </c>
      <c r="P148" s="59" t="e">
        <f t="shared" si="85"/>
        <v>#REF!</v>
      </c>
      <c r="Q148" s="59" t="e">
        <f t="shared" si="85"/>
        <v>#REF!</v>
      </c>
    </row>
    <row r="149" spans="1:17" x14ac:dyDescent="0.25">
      <c r="A149">
        <v>900</v>
      </c>
      <c r="B149" s="18" t="s">
        <v>85</v>
      </c>
      <c r="E149"/>
    </row>
    <row r="150" spans="1:17" x14ac:dyDescent="0.25">
      <c r="A150">
        <v>950</v>
      </c>
      <c r="B150" s="18" t="s">
        <v>86</v>
      </c>
      <c r="E150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x14ac:dyDescent="0.25">
      <c r="A151"/>
      <c r="B151" s="18" t="s">
        <v>216</v>
      </c>
      <c r="E151"/>
      <c r="F151" s="103" t="e">
        <f t="shared" ref="F151:Q151" si="86">F60+F66+F75+F80+F84+F91+F94+F105+F106+F107+F112+F123+F124+F125+F126+F127+F128+F129+F147+F148+F149+F150</f>
        <v>#REF!</v>
      </c>
      <c r="G151" s="103" t="e">
        <f t="shared" si="86"/>
        <v>#REF!</v>
      </c>
      <c r="H151" s="103" t="e">
        <f t="shared" si="86"/>
        <v>#REF!</v>
      </c>
      <c r="I151" s="103" t="e">
        <f t="shared" si="86"/>
        <v>#REF!</v>
      </c>
      <c r="J151" s="103" t="e">
        <f t="shared" si="86"/>
        <v>#REF!</v>
      </c>
      <c r="K151" s="103" t="e">
        <f t="shared" si="86"/>
        <v>#REF!</v>
      </c>
      <c r="L151" s="103" t="e">
        <f t="shared" si="86"/>
        <v>#REF!</v>
      </c>
      <c r="M151" s="103" t="e">
        <f t="shared" si="86"/>
        <v>#REF!</v>
      </c>
      <c r="N151" s="103" t="e">
        <f t="shared" si="86"/>
        <v>#REF!</v>
      </c>
      <c r="O151" s="103" t="e">
        <f t="shared" si="86"/>
        <v>#REF!</v>
      </c>
      <c r="P151" s="103" t="e">
        <f t="shared" si="86"/>
        <v>#REF!</v>
      </c>
      <c r="Q151" s="103" t="e">
        <f t="shared" si="86"/>
        <v>#REF!</v>
      </c>
    </row>
    <row r="152" spans="1:17" ht="15.75" thickBot="1" x14ac:dyDescent="0.3">
      <c r="B152" s="18" t="s">
        <v>217</v>
      </c>
      <c r="E152" s="66"/>
      <c r="F152" s="132" t="e">
        <f t="shared" ref="F152:Q152" si="87">F53-F151</f>
        <v>#REF!</v>
      </c>
      <c r="G152" s="132" t="e">
        <f t="shared" si="87"/>
        <v>#REF!</v>
      </c>
      <c r="H152" s="132" t="e">
        <f t="shared" si="87"/>
        <v>#REF!</v>
      </c>
      <c r="I152" s="132" t="e">
        <f t="shared" si="87"/>
        <v>#REF!</v>
      </c>
      <c r="J152" s="132" t="e">
        <f t="shared" si="87"/>
        <v>#REF!</v>
      </c>
      <c r="K152" s="132" t="e">
        <f t="shared" si="87"/>
        <v>#REF!</v>
      </c>
      <c r="L152" s="132" t="e">
        <f t="shared" si="87"/>
        <v>#REF!</v>
      </c>
      <c r="M152" s="132" t="e">
        <f t="shared" si="87"/>
        <v>#REF!</v>
      </c>
      <c r="N152" s="132" t="e">
        <f t="shared" si="87"/>
        <v>#REF!</v>
      </c>
      <c r="O152" s="132" t="e">
        <f t="shared" si="87"/>
        <v>#REF!</v>
      </c>
      <c r="P152" s="132" t="e">
        <f t="shared" si="87"/>
        <v>#REF!</v>
      </c>
      <c r="Q152" s="132" t="e">
        <f t="shared" si="87"/>
        <v>#REF!</v>
      </c>
    </row>
    <row r="153" spans="1:17" ht="15.75" thickTop="1" x14ac:dyDescent="0.25">
      <c r="L153" s="48"/>
      <c r="M153" s="48"/>
      <c r="N153" s="48"/>
      <c r="O153" s="48"/>
      <c r="P153" s="48"/>
      <c r="Q153" s="48"/>
    </row>
    <row r="154" spans="1:17" x14ac:dyDescent="0.25">
      <c r="E154"/>
      <c r="F154" s="44"/>
      <c r="L154" s="48"/>
      <c r="M154" s="48"/>
      <c r="N154" s="48"/>
      <c r="O154" s="48"/>
      <c r="P154" s="48"/>
      <c r="Q154" s="48"/>
    </row>
    <row r="155" spans="1:17" x14ac:dyDescent="0.25">
      <c r="A155" s="71" t="s">
        <v>43</v>
      </c>
      <c r="E155"/>
      <c r="F155" s="3" t="s">
        <v>0</v>
      </c>
      <c r="G155" s="21" t="s">
        <v>1</v>
      </c>
      <c r="H155" s="22" t="s">
        <v>2</v>
      </c>
      <c r="I155" s="3" t="s">
        <v>3</v>
      </c>
      <c r="J155" s="3" t="s">
        <v>4</v>
      </c>
      <c r="K155" s="4" t="s">
        <v>5</v>
      </c>
      <c r="L155" s="70" t="s">
        <v>61</v>
      </c>
      <c r="M155" s="70" t="s">
        <v>62</v>
      </c>
      <c r="N155" s="70" t="s">
        <v>63</v>
      </c>
      <c r="O155" s="70" t="s">
        <v>64</v>
      </c>
      <c r="P155" s="70" t="s">
        <v>65</v>
      </c>
      <c r="Q155" s="70" t="s">
        <v>66</v>
      </c>
    </row>
    <row r="156" spans="1:17" x14ac:dyDescent="0.25">
      <c r="A156" s="71"/>
      <c r="D156" s="43" t="s">
        <v>47</v>
      </c>
      <c r="E156"/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</row>
    <row r="157" spans="1:17" x14ac:dyDescent="0.25">
      <c r="A157" s="71"/>
      <c r="D157">
        <v>1</v>
      </c>
      <c r="E157"/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</row>
    <row r="158" spans="1:17" x14ac:dyDescent="0.25">
      <c r="A158" s="71"/>
      <c r="D158">
        <v>2</v>
      </c>
      <c r="E158"/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</row>
    <row r="159" spans="1:17" x14ac:dyDescent="0.25">
      <c r="A159" s="71"/>
      <c r="D159">
        <v>3</v>
      </c>
      <c r="E159"/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</row>
    <row r="160" spans="1:17" x14ac:dyDescent="0.25">
      <c r="A160" s="71"/>
      <c r="D160">
        <v>4</v>
      </c>
      <c r="E160"/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</row>
    <row r="161" spans="1:17" x14ac:dyDescent="0.25">
      <c r="D161">
        <v>5</v>
      </c>
      <c r="E161"/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</row>
    <row r="162" spans="1:17" x14ac:dyDescent="0.25">
      <c r="D162">
        <v>6</v>
      </c>
      <c r="E162"/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8">
        <v>0</v>
      </c>
    </row>
    <row r="163" spans="1:17" x14ac:dyDescent="0.25">
      <c r="D163">
        <v>7</v>
      </c>
      <c r="E163"/>
      <c r="F163" s="108">
        <v>0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0</v>
      </c>
    </row>
    <row r="164" spans="1:17" x14ac:dyDescent="0.25">
      <c r="D164">
        <v>8</v>
      </c>
      <c r="E164"/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</row>
    <row r="165" spans="1:17" x14ac:dyDescent="0.25">
      <c r="D165">
        <v>9</v>
      </c>
      <c r="E165"/>
      <c r="F165" s="108" t="e">
        <f>Assumptions!#REF!</f>
        <v>#REF!</v>
      </c>
      <c r="G165" s="108" t="e">
        <f>Assumptions!#REF!</f>
        <v>#REF!</v>
      </c>
      <c r="H165" s="108" t="e">
        <f>Assumptions!#REF!</f>
        <v>#REF!</v>
      </c>
      <c r="I165" s="108" t="e">
        <f>Assumptions!#REF!</f>
        <v>#REF!</v>
      </c>
      <c r="J165" s="108" t="e">
        <f>Assumptions!#REF!</f>
        <v>#REF!</v>
      </c>
      <c r="K165" s="108" t="e">
        <f>Assumptions!#REF!</f>
        <v>#REF!</v>
      </c>
      <c r="L165" s="108" t="e">
        <f>Assumptions!#REF!</f>
        <v>#REF!</v>
      </c>
      <c r="M165" s="108" t="e">
        <f>Assumptions!#REF!</f>
        <v>#REF!</v>
      </c>
      <c r="N165" s="108" t="e">
        <f>Assumptions!#REF!</f>
        <v>#REF!</v>
      </c>
      <c r="O165" s="108" t="e">
        <f>Assumptions!#REF!</f>
        <v>#REF!</v>
      </c>
      <c r="P165" s="108" t="e">
        <f>Assumptions!#REF!</f>
        <v>#REF!</v>
      </c>
      <c r="Q165" s="108" t="e">
        <f>Assumptions!#REF!</f>
        <v>#REF!</v>
      </c>
    </row>
    <row r="166" spans="1:17" x14ac:dyDescent="0.25">
      <c r="D166">
        <v>10</v>
      </c>
      <c r="E166"/>
      <c r="F166" s="108" t="e">
        <f>Assumptions!#REF!</f>
        <v>#REF!</v>
      </c>
      <c r="G166" s="108" t="e">
        <f>Assumptions!#REF!</f>
        <v>#REF!</v>
      </c>
      <c r="H166" s="108" t="e">
        <f>Assumptions!#REF!</f>
        <v>#REF!</v>
      </c>
      <c r="I166" s="108" t="e">
        <f>Assumptions!#REF!</f>
        <v>#REF!</v>
      </c>
      <c r="J166" s="108" t="e">
        <f>Assumptions!#REF!</f>
        <v>#REF!</v>
      </c>
      <c r="K166" s="108" t="e">
        <f>Assumptions!#REF!</f>
        <v>#REF!</v>
      </c>
      <c r="L166" s="108" t="e">
        <f>Assumptions!#REF!</f>
        <v>#REF!</v>
      </c>
      <c r="M166" s="108" t="e">
        <f>Assumptions!#REF!</f>
        <v>#REF!</v>
      </c>
      <c r="N166" s="108" t="e">
        <f>Assumptions!#REF!</f>
        <v>#REF!</v>
      </c>
      <c r="O166" s="108" t="e">
        <f>Assumptions!#REF!</f>
        <v>#REF!</v>
      </c>
      <c r="P166" s="108" t="e">
        <f>Assumptions!#REF!</f>
        <v>#REF!</v>
      </c>
      <c r="Q166" s="108" t="e">
        <f>Assumptions!#REF!</f>
        <v>#REF!</v>
      </c>
    </row>
    <row r="167" spans="1:17" x14ac:dyDescent="0.25">
      <c r="D167">
        <v>11</v>
      </c>
      <c r="E167"/>
      <c r="F167" s="108">
        <f>Assumptions!E44</f>
        <v>50</v>
      </c>
      <c r="G167" s="108">
        <f>Assumptions!F44</f>
        <v>70</v>
      </c>
      <c r="H167" s="108">
        <f>Assumptions!G44</f>
        <v>80</v>
      </c>
      <c r="I167" s="108">
        <f>Assumptions!H44</f>
        <v>90</v>
      </c>
      <c r="J167" s="108">
        <f>Assumptions!I44</f>
        <v>90</v>
      </c>
      <c r="K167" s="108">
        <f>Assumptions!J44</f>
        <v>100</v>
      </c>
      <c r="L167" s="108">
        <f>Assumptions!K44</f>
        <v>100</v>
      </c>
      <c r="M167" s="108">
        <f>Assumptions!L44</f>
        <v>110</v>
      </c>
      <c r="N167" s="108">
        <f>Assumptions!M44</f>
        <v>110</v>
      </c>
      <c r="O167" s="108">
        <f>Assumptions!N44</f>
        <v>120</v>
      </c>
      <c r="P167" s="108">
        <f>Assumptions!O44</f>
        <v>120</v>
      </c>
      <c r="Q167" s="108">
        <f>Assumptions!P44</f>
        <v>130</v>
      </c>
    </row>
    <row r="168" spans="1:17" x14ac:dyDescent="0.25">
      <c r="D168">
        <v>12</v>
      </c>
      <c r="E168"/>
      <c r="F168" s="109">
        <f>Assumptions!E45</f>
        <v>40</v>
      </c>
      <c r="G168" s="109">
        <f>Assumptions!F45</f>
        <v>60</v>
      </c>
      <c r="H168" s="109">
        <f>Assumptions!G45</f>
        <v>70</v>
      </c>
      <c r="I168" s="109">
        <f>Assumptions!H45</f>
        <v>68</v>
      </c>
      <c r="J168" s="109">
        <f>Assumptions!I45</f>
        <v>76</v>
      </c>
      <c r="K168" s="109">
        <f>Assumptions!J45</f>
        <v>74</v>
      </c>
      <c r="L168" s="109">
        <f>Assumptions!K45</f>
        <v>83</v>
      </c>
      <c r="M168" s="109">
        <f>Assumptions!L45</f>
        <v>82</v>
      </c>
      <c r="N168" s="109">
        <f>Assumptions!M45</f>
        <v>92</v>
      </c>
      <c r="O168" s="109">
        <f>Assumptions!N45</f>
        <v>92</v>
      </c>
      <c r="P168" s="109">
        <f>Assumptions!O45</f>
        <v>103</v>
      </c>
      <c r="Q168" s="109">
        <f>Assumptions!P45</f>
        <v>104</v>
      </c>
    </row>
    <row r="169" spans="1:17" x14ac:dyDescent="0.25">
      <c r="E169"/>
      <c r="F169" t="e">
        <f>SUM(F156:F168)</f>
        <v>#REF!</v>
      </c>
      <c r="G169" t="e">
        <f t="shared" ref="G169:Q169" si="88">SUM(G156:G168)</f>
        <v>#REF!</v>
      </c>
      <c r="H169" t="e">
        <f t="shared" si="88"/>
        <v>#REF!</v>
      </c>
      <c r="I169" t="e">
        <f t="shared" si="88"/>
        <v>#REF!</v>
      </c>
      <c r="J169" t="e">
        <f t="shared" si="88"/>
        <v>#REF!</v>
      </c>
      <c r="K169" t="e">
        <f t="shared" si="88"/>
        <v>#REF!</v>
      </c>
      <c r="L169" t="e">
        <f t="shared" si="88"/>
        <v>#REF!</v>
      </c>
      <c r="M169" t="e">
        <f t="shared" si="88"/>
        <v>#REF!</v>
      </c>
      <c r="N169" t="e">
        <f t="shared" si="88"/>
        <v>#REF!</v>
      </c>
      <c r="O169" t="e">
        <f t="shared" si="88"/>
        <v>#REF!</v>
      </c>
      <c r="P169" t="e">
        <f t="shared" si="88"/>
        <v>#REF!</v>
      </c>
      <c r="Q169" t="e">
        <f t="shared" si="88"/>
        <v>#REF!</v>
      </c>
    </row>
    <row r="170" spans="1:17" x14ac:dyDescent="0.25">
      <c r="D170" t="s">
        <v>249</v>
      </c>
      <c r="E170"/>
      <c r="F170">
        <f>(SUM(F156:F164)*0.5)/20</f>
        <v>0</v>
      </c>
      <c r="G170">
        <f t="shared" ref="G170:Q170" si="89">(SUM(G156:G164)*0.5)/20</f>
        <v>0</v>
      </c>
      <c r="H170">
        <f t="shared" si="89"/>
        <v>0</v>
      </c>
      <c r="I170">
        <f t="shared" si="89"/>
        <v>0</v>
      </c>
      <c r="J170">
        <f t="shared" si="89"/>
        <v>0</v>
      </c>
      <c r="K170">
        <f t="shared" si="89"/>
        <v>0</v>
      </c>
      <c r="L170">
        <f t="shared" si="89"/>
        <v>0</v>
      </c>
      <c r="M170">
        <f t="shared" si="89"/>
        <v>0</v>
      </c>
      <c r="N170">
        <f t="shared" si="89"/>
        <v>0</v>
      </c>
      <c r="O170">
        <f t="shared" si="89"/>
        <v>0</v>
      </c>
      <c r="P170">
        <f t="shared" si="89"/>
        <v>0</v>
      </c>
      <c r="Q170">
        <f t="shared" si="89"/>
        <v>0</v>
      </c>
    </row>
    <row r="171" spans="1:17" x14ac:dyDescent="0.25">
      <c r="D171" t="s">
        <v>93</v>
      </c>
      <c r="E171"/>
      <c r="F171">
        <f>COUNTIF(F156:F168,"&gt;1")</f>
        <v>2</v>
      </c>
      <c r="G171" s="110">
        <f>COUNTIF(G156:G168,"&gt;1")-COUNTIF(F156:F168,"&gt;1")</f>
        <v>0</v>
      </c>
      <c r="H171" s="110">
        <f>COUNTIF(H156:H168,"&gt;1")-COUNTIF(G156:G168,"&gt;1")</f>
        <v>0</v>
      </c>
      <c r="I171" s="48">
        <f>COUNTIF(I156:I168,"&gt;1")-COUNTIF(H156:H168,"&gt;1")</f>
        <v>0</v>
      </c>
      <c r="J171" s="48">
        <f>COUNTIF(J156:J168,"&gt;1")-COUNTIF(I156:I168,"&gt;1")</f>
        <v>0</v>
      </c>
      <c r="K171" s="48">
        <f>COUNTIF(K156:K168,"&gt;1")-COUNTIF(J156:J168,"&gt;1")</f>
        <v>0</v>
      </c>
      <c r="L171" s="48">
        <f t="shared" ref="L171:Q171" si="90">COUNTIF(L156:L168,"&gt;1")-COUNTIF(K156:K168,"&gt;1")</f>
        <v>0</v>
      </c>
      <c r="M171" s="48">
        <f t="shared" si="90"/>
        <v>0</v>
      </c>
      <c r="N171" s="48">
        <f t="shared" si="90"/>
        <v>0</v>
      </c>
      <c r="O171" s="48">
        <f t="shared" si="90"/>
        <v>0</v>
      </c>
      <c r="P171" s="48">
        <f t="shared" si="90"/>
        <v>0</v>
      </c>
      <c r="Q171" s="48">
        <f t="shared" si="90"/>
        <v>0</v>
      </c>
    </row>
    <row r="172" spans="1:17" x14ac:dyDescent="0.25">
      <c r="D172" t="s">
        <v>117</v>
      </c>
      <c r="E172" s="88">
        <v>0.1</v>
      </c>
      <c r="F172" t="e">
        <f t="shared" ref="F172:Q172" si="91">ROUNDUP(F$169*$E172,0)</f>
        <v>#REF!</v>
      </c>
      <c r="G172" t="e">
        <f t="shared" si="91"/>
        <v>#REF!</v>
      </c>
      <c r="H172" t="e">
        <f t="shared" si="91"/>
        <v>#REF!</v>
      </c>
      <c r="I172" t="e">
        <f t="shared" si="91"/>
        <v>#REF!</v>
      </c>
      <c r="J172" t="e">
        <f t="shared" si="91"/>
        <v>#REF!</v>
      </c>
      <c r="K172" t="e">
        <f t="shared" si="91"/>
        <v>#REF!</v>
      </c>
      <c r="L172" t="e">
        <f t="shared" si="91"/>
        <v>#REF!</v>
      </c>
      <c r="M172" t="e">
        <f t="shared" si="91"/>
        <v>#REF!</v>
      </c>
      <c r="N172" t="e">
        <f t="shared" si="91"/>
        <v>#REF!</v>
      </c>
      <c r="O172" t="e">
        <f t="shared" si="91"/>
        <v>#REF!</v>
      </c>
      <c r="P172" t="e">
        <f t="shared" si="91"/>
        <v>#REF!</v>
      </c>
      <c r="Q172" t="e">
        <f t="shared" si="91"/>
        <v>#REF!</v>
      </c>
    </row>
    <row r="173" spans="1:17" x14ac:dyDescent="0.25">
      <c r="D173" t="s">
        <v>220</v>
      </c>
      <c r="E173"/>
      <c r="F173" s="112">
        <f t="shared" ref="F173:Q173" si="92">ROUNDUP(SUM(F156:F160)/30,1)</f>
        <v>0</v>
      </c>
      <c r="G173" s="112">
        <f t="shared" si="92"/>
        <v>0</v>
      </c>
      <c r="H173" s="112">
        <f t="shared" si="92"/>
        <v>0</v>
      </c>
      <c r="I173" s="112">
        <f t="shared" si="92"/>
        <v>0</v>
      </c>
      <c r="J173" s="112">
        <f t="shared" si="92"/>
        <v>0</v>
      </c>
      <c r="K173" s="112">
        <f t="shared" si="92"/>
        <v>0</v>
      </c>
      <c r="L173" s="112">
        <f t="shared" si="92"/>
        <v>0</v>
      </c>
      <c r="M173" s="112">
        <f t="shared" si="92"/>
        <v>0</v>
      </c>
      <c r="N173" s="112">
        <f t="shared" si="92"/>
        <v>0</v>
      </c>
      <c r="O173" s="112">
        <f t="shared" si="92"/>
        <v>0</v>
      </c>
      <c r="P173" s="112">
        <f t="shared" si="92"/>
        <v>0</v>
      </c>
      <c r="Q173" s="112">
        <f t="shared" si="92"/>
        <v>0</v>
      </c>
    </row>
    <row r="174" spans="1:17" x14ac:dyDescent="0.25">
      <c r="D174" t="s">
        <v>221</v>
      </c>
      <c r="E174"/>
      <c r="F174" s="112">
        <f>ROUNDUP(SUM(F161:F164)/30,1)</f>
        <v>0</v>
      </c>
      <c r="G174" s="112">
        <f t="shared" ref="G174:Q174" si="93">ROUNDUP(SUM(G161:G164)/30,1)</f>
        <v>0</v>
      </c>
      <c r="H174" s="112">
        <f t="shared" si="93"/>
        <v>0</v>
      </c>
      <c r="I174" s="112">
        <f t="shared" si="93"/>
        <v>0</v>
      </c>
      <c r="J174" s="112">
        <f t="shared" si="93"/>
        <v>0</v>
      </c>
      <c r="K174" s="112">
        <f t="shared" si="93"/>
        <v>0</v>
      </c>
      <c r="L174" s="112">
        <f t="shared" si="93"/>
        <v>0</v>
      </c>
      <c r="M174" s="112">
        <f t="shared" si="93"/>
        <v>0</v>
      </c>
      <c r="N174" s="112">
        <f t="shared" si="93"/>
        <v>0</v>
      </c>
      <c r="O174" s="112">
        <f t="shared" si="93"/>
        <v>0</v>
      </c>
      <c r="P174" s="112">
        <f t="shared" si="93"/>
        <v>0</v>
      </c>
      <c r="Q174" s="112">
        <f t="shared" si="93"/>
        <v>0</v>
      </c>
    </row>
    <row r="175" spans="1:17" x14ac:dyDescent="0.25">
      <c r="E175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x14ac:dyDescent="0.25">
      <c r="A176" s="9" t="s">
        <v>6</v>
      </c>
      <c r="B176" s="1"/>
      <c r="C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8" x14ac:dyDescent="0.25">
      <c r="A177" s="7"/>
      <c r="B177" s="1"/>
      <c r="C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8" x14ac:dyDescent="0.25">
      <c r="A178" s="7" t="s">
        <v>7</v>
      </c>
      <c r="B178" s="1"/>
      <c r="C178" s="1"/>
      <c r="F178" s="23" t="e">
        <f>SUMIFS(F$188:F$312,$A$188:$A$312,1110)</f>
        <v>#REF!</v>
      </c>
      <c r="G178" s="23" t="e">
        <f t="shared" ref="G178:Q178" si="94">SUMIFS(G$188:G$312,$A$188:$A$312,1110)</f>
        <v>#REF!</v>
      </c>
      <c r="H178" s="23" t="e">
        <f t="shared" si="94"/>
        <v>#REF!</v>
      </c>
      <c r="I178" s="23" t="e">
        <f t="shared" si="94"/>
        <v>#REF!</v>
      </c>
      <c r="J178" s="23" t="e">
        <f t="shared" si="94"/>
        <v>#REF!</v>
      </c>
      <c r="K178" s="23" t="e">
        <f t="shared" si="94"/>
        <v>#REF!</v>
      </c>
      <c r="L178" s="23" t="e">
        <f t="shared" si="94"/>
        <v>#REF!</v>
      </c>
      <c r="M178" s="23" t="e">
        <f t="shared" si="94"/>
        <v>#REF!</v>
      </c>
      <c r="N178" s="23" t="e">
        <f t="shared" si="94"/>
        <v>#REF!</v>
      </c>
      <c r="O178" s="23" t="e">
        <f t="shared" si="94"/>
        <v>#REF!</v>
      </c>
      <c r="P178" s="23" t="e">
        <f t="shared" si="94"/>
        <v>#REF!</v>
      </c>
      <c r="Q178" s="23" t="e">
        <f t="shared" si="94"/>
        <v>#REF!</v>
      </c>
    </row>
    <row r="179" spans="1:18" x14ac:dyDescent="0.25">
      <c r="A179" s="7" t="s">
        <v>8</v>
      </c>
      <c r="B179" s="1"/>
      <c r="C179" s="1"/>
      <c r="F179" s="11">
        <f>COUNTIFS($A$188:$A$312,"1200",F$188:F$312,"&gt;0")</f>
        <v>0</v>
      </c>
      <c r="G179" s="11">
        <f t="shared" ref="G179:Q179" si="95">COUNTIFS($A$188:$A$312,"1200",G$188:G$312,"&gt;0")</f>
        <v>0</v>
      </c>
      <c r="H179" s="11">
        <f t="shared" si="95"/>
        <v>0</v>
      </c>
      <c r="I179" s="11">
        <f t="shared" si="95"/>
        <v>0</v>
      </c>
      <c r="J179" s="11">
        <f t="shared" si="95"/>
        <v>0</v>
      </c>
      <c r="K179" s="11">
        <f t="shared" si="95"/>
        <v>0</v>
      </c>
      <c r="L179" s="11">
        <f t="shared" si="95"/>
        <v>0</v>
      </c>
      <c r="M179" s="11">
        <f t="shared" si="95"/>
        <v>0</v>
      </c>
      <c r="N179" s="11">
        <f t="shared" si="95"/>
        <v>0</v>
      </c>
      <c r="O179" s="11">
        <f t="shared" si="95"/>
        <v>0</v>
      </c>
      <c r="P179" s="11">
        <f t="shared" si="95"/>
        <v>0</v>
      </c>
      <c r="Q179" s="11">
        <f t="shared" si="95"/>
        <v>0</v>
      </c>
    </row>
    <row r="180" spans="1:18" x14ac:dyDescent="0.25">
      <c r="A180" s="7" t="s">
        <v>9</v>
      </c>
      <c r="B180" s="1"/>
      <c r="C180" s="1"/>
      <c r="F180" s="2" t="e">
        <f>SUM(F178:F179)</f>
        <v>#REF!</v>
      </c>
      <c r="G180" s="2" t="e">
        <f>SUM(G178:G179)</f>
        <v>#REF!</v>
      </c>
      <c r="H180" s="2" t="e">
        <f>SUM(H178:H179)</f>
        <v>#REF!</v>
      </c>
      <c r="I180" s="2" t="e">
        <f>SUM(I178:I179)</f>
        <v>#REF!</v>
      </c>
      <c r="J180" s="2" t="e">
        <f>SUM(J178:J179)</f>
        <v>#REF!</v>
      </c>
      <c r="K180" s="2" t="e">
        <f t="shared" ref="K180:Q180" si="96">SUM(K178:K179)</f>
        <v>#REF!</v>
      </c>
      <c r="L180" s="2" t="e">
        <f t="shared" si="96"/>
        <v>#REF!</v>
      </c>
      <c r="M180" s="2" t="e">
        <f t="shared" si="96"/>
        <v>#REF!</v>
      </c>
      <c r="N180" s="2" t="e">
        <f t="shared" si="96"/>
        <v>#REF!</v>
      </c>
      <c r="O180" s="2" t="e">
        <f t="shared" si="96"/>
        <v>#REF!</v>
      </c>
      <c r="P180" s="2" t="e">
        <f t="shared" si="96"/>
        <v>#REF!</v>
      </c>
      <c r="Q180" s="2" t="e">
        <f t="shared" si="96"/>
        <v>#REF!</v>
      </c>
    </row>
    <row r="181" spans="1:18" x14ac:dyDescent="0.25">
      <c r="A181" s="7"/>
      <c r="B181" s="1"/>
      <c r="C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8" s="24" customFormat="1" x14ac:dyDescent="0.25">
      <c r="A182" s="25" t="s">
        <v>214</v>
      </c>
      <c r="E182" s="118"/>
      <c r="F182" s="23">
        <f>SUMIFS(F$188:F$312,$A$188:$A$312,2200)+SUMIFS(F$188:F$312,$A188:$A312,2900)</f>
        <v>0</v>
      </c>
      <c r="G182" s="23">
        <f t="shared" ref="G182:Q182" si="97">SUMIFS(G$188:G$312,$A$188:$A$312,2200)+SUMIFS(G$188:G$312,$A188:$A312,2900)</f>
        <v>0</v>
      </c>
      <c r="H182" s="23">
        <f t="shared" si="97"/>
        <v>0</v>
      </c>
      <c r="I182" s="23">
        <f t="shared" si="97"/>
        <v>0</v>
      </c>
      <c r="J182" s="23">
        <f t="shared" si="97"/>
        <v>0</v>
      </c>
      <c r="K182" s="23">
        <f t="shared" si="97"/>
        <v>2</v>
      </c>
      <c r="L182" s="23">
        <f t="shared" si="97"/>
        <v>2.5</v>
      </c>
      <c r="M182" s="23">
        <f t="shared" si="97"/>
        <v>4</v>
      </c>
      <c r="N182" s="23">
        <f t="shared" si="97"/>
        <v>5</v>
      </c>
      <c r="O182" s="23">
        <f t="shared" si="97"/>
        <v>5</v>
      </c>
      <c r="P182" s="23">
        <f t="shared" si="97"/>
        <v>5</v>
      </c>
      <c r="Q182" s="23">
        <f t="shared" si="97"/>
        <v>5</v>
      </c>
    </row>
    <row r="183" spans="1:18" s="24" customFormat="1" x14ac:dyDescent="0.25">
      <c r="A183" s="25" t="s">
        <v>10</v>
      </c>
      <c r="E183" s="118"/>
      <c r="F183" s="119" t="e">
        <f>+F313-F180-F182</f>
        <v>#REF!</v>
      </c>
      <c r="G183" s="119" t="e">
        <f t="shared" ref="G183:Q183" si="98">+G313-G180-G182</f>
        <v>#REF!</v>
      </c>
      <c r="H183" s="119" t="e">
        <f t="shared" si="98"/>
        <v>#REF!</v>
      </c>
      <c r="I183" s="119" t="e">
        <f t="shared" si="98"/>
        <v>#REF!</v>
      </c>
      <c r="J183" s="119" t="e">
        <f t="shared" si="98"/>
        <v>#REF!</v>
      </c>
      <c r="K183" s="119" t="e">
        <f t="shared" si="98"/>
        <v>#REF!</v>
      </c>
      <c r="L183" s="119" t="e">
        <f t="shared" si="98"/>
        <v>#REF!</v>
      </c>
      <c r="M183" s="119" t="e">
        <f t="shared" si="98"/>
        <v>#REF!</v>
      </c>
      <c r="N183" s="119" t="e">
        <f t="shared" si="98"/>
        <v>#REF!</v>
      </c>
      <c r="O183" s="119" t="e">
        <f t="shared" si="98"/>
        <v>#REF!</v>
      </c>
      <c r="P183" s="119" t="e">
        <f t="shared" si="98"/>
        <v>#REF!</v>
      </c>
      <c r="Q183" s="119" t="e">
        <f t="shared" si="98"/>
        <v>#REF!</v>
      </c>
    </row>
    <row r="184" spans="1:18" s="24" customFormat="1" x14ac:dyDescent="0.25">
      <c r="A184" s="120" t="s">
        <v>11</v>
      </c>
      <c r="E184" s="118"/>
      <c r="F184" s="23" t="e">
        <f>SUM(F180:F183)</f>
        <v>#REF!</v>
      </c>
      <c r="G184" s="23" t="e">
        <f t="shared" ref="G184:Q184" si="99">SUM(G180:G183)</f>
        <v>#REF!</v>
      </c>
      <c r="H184" s="23" t="e">
        <f t="shared" si="99"/>
        <v>#REF!</v>
      </c>
      <c r="I184" s="23" t="e">
        <f t="shared" si="99"/>
        <v>#REF!</v>
      </c>
      <c r="J184" s="23" t="e">
        <f t="shared" si="99"/>
        <v>#REF!</v>
      </c>
      <c r="K184" s="23" t="e">
        <f t="shared" si="99"/>
        <v>#REF!</v>
      </c>
      <c r="L184" s="23" t="e">
        <f t="shared" si="99"/>
        <v>#REF!</v>
      </c>
      <c r="M184" s="23" t="e">
        <f t="shared" si="99"/>
        <v>#REF!</v>
      </c>
      <c r="N184" s="23" t="e">
        <f t="shared" si="99"/>
        <v>#REF!</v>
      </c>
      <c r="O184" s="23" t="e">
        <f t="shared" si="99"/>
        <v>#REF!</v>
      </c>
      <c r="P184" s="23" t="e">
        <f t="shared" si="99"/>
        <v>#REF!</v>
      </c>
      <c r="Q184" s="23" t="e">
        <f t="shared" si="99"/>
        <v>#REF!</v>
      </c>
    </row>
    <row r="185" spans="1:18" x14ac:dyDescent="0.25">
      <c r="G185" s="36"/>
      <c r="H185" s="36"/>
      <c r="I185" s="36"/>
      <c r="J185" s="146" t="e">
        <f t="shared" ref="J185:P185" si="100">J184-J313</f>
        <v>#REF!</v>
      </c>
      <c r="K185" s="146" t="e">
        <f t="shared" si="100"/>
        <v>#REF!</v>
      </c>
      <c r="L185" s="146" t="e">
        <f t="shared" si="100"/>
        <v>#REF!</v>
      </c>
      <c r="M185" s="146" t="e">
        <f t="shared" si="100"/>
        <v>#REF!</v>
      </c>
      <c r="N185" s="146" t="e">
        <f t="shared" si="100"/>
        <v>#REF!</v>
      </c>
      <c r="O185" s="146" t="e">
        <f t="shared" si="100"/>
        <v>#REF!</v>
      </c>
      <c r="P185" s="146" t="e">
        <f t="shared" si="100"/>
        <v>#REF!</v>
      </c>
      <c r="Q185" s="146" t="e">
        <f>Q184-Q313</f>
        <v>#REF!</v>
      </c>
      <c r="R185" s="36"/>
    </row>
    <row r="186" spans="1:18" x14ac:dyDescent="0.25">
      <c r="E18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8" x14ac:dyDescent="0.25">
      <c r="A187" s="71" t="s">
        <v>71</v>
      </c>
      <c r="D187" s="47"/>
      <c r="E187"/>
      <c r="F187" s="3" t="s">
        <v>0</v>
      </c>
      <c r="G187" s="21" t="s">
        <v>1</v>
      </c>
      <c r="H187" s="22" t="s">
        <v>2</v>
      </c>
      <c r="I187" s="3" t="s">
        <v>3</v>
      </c>
      <c r="J187" s="3" t="s">
        <v>4</v>
      </c>
      <c r="K187" s="4" t="s">
        <v>5</v>
      </c>
      <c r="L187" s="70" t="s">
        <v>61</v>
      </c>
      <c r="M187" s="70" t="s">
        <v>62</v>
      </c>
      <c r="N187" s="70" t="s">
        <v>63</v>
      </c>
      <c r="O187" s="70" t="s">
        <v>64</v>
      </c>
      <c r="P187" s="70" t="s">
        <v>65</v>
      </c>
      <c r="Q187" s="70" t="s">
        <v>66</v>
      </c>
    </row>
    <row r="188" spans="1:18" x14ac:dyDescent="0.25">
      <c r="A188" s="37">
        <v>1300</v>
      </c>
      <c r="B188" s="7" t="s">
        <v>222</v>
      </c>
      <c r="D188" s="89">
        <v>75000</v>
      </c>
      <c r="E188"/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8" x14ac:dyDescent="0.25">
      <c r="A189" s="37">
        <v>1300</v>
      </c>
      <c r="B189" s="7" t="s">
        <v>218</v>
      </c>
      <c r="D189" s="89">
        <v>75000</v>
      </c>
      <c r="E189"/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8" x14ac:dyDescent="0.25">
      <c r="A190" s="37">
        <v>1300</v>
      </c>
      <c r="B190" s="7" t="s">
        <v>219</v>
      </c>
      <c r="D190" s="89">
        <v>75000</v>
      </c>
      <c r="E190"/>
      <c r="F190" s="36" t="e">
        <f t="shared" ref="F190:Q190" si="101">IF(SUM(F$165:F$168)&gt;1,1,0)</f>
        <v>#REF!</v>
      </c>
      <c r="G190" s="36" t="e">
        <f t="shared" si="101"/>
        <v>#REF!</v>
      </c>
      <c r="H190" s="36" t="e">
        <f t="shared" si="101"/>
        <v>#REF!</v>
      </c>
      <c r="I190" s="36" t="e">
        <f t="shared" si="101"/>
        <v>#REF!</v>
      </c>
      <c r="J190" s="36" t="e">
        <f t="shared" si="101"/>
        <v>#REF!</v>
      </c>
      <c r="K190" s="36" t="e">
        <f t="shared" si="101"/>
        <v>#REF!</v>
      </c>
      <c r="L190" s="36" t="e">
        <f t="shared" si="101"/>
        <v>#REF!</v>
      </c>
      <c r="M190" s="36" t="e">
        <f t="shared" si="101"/>
        <v>#REF!</v>
      </c>
      <c r="N190" s="36" t="e">
        <f t="shared" si="101"/>
        <v>#REF!</v>
      </c>
      <c r="O190" s="36" t="e">
        <f t="shared" si="101"/>
        <v>#REF!</v>
      </c>
      <c r="P190" s="36" t="e">
        <f t="shared" si="101"/>
        <v>#REF!</v>
      </c>
      <c r="Q190" s="36" t="e">
        <f t="shared" si="101"/>
        <v>#REF!</v>
      </c>
    </row>
    <row r="191" spans="1:18" x14ac:dyDescent="0.25">
      <c r="A191" s="37">
        <v>2300</v>
      </c>
      <c r="B191" s="7" t="s">
        <v>229</v>
      </c>
      <c r="D191" s="89">
        <v>60000</v>
      </c>
      <c r="E191"/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8" x14ac:dyDescent="0.25">
      <c r="A192" s="37">
        <v>2300</v>
      </c>
      <c r="B192" s="7" t="s">
        <v>230</v>
      </c>
      <c r="D192" s="89">
        <v>60000</v>
      </c>
      <c r="E192"/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5">
      <c r="A193" s="37">
        <v>2300</v>
      </c>
      <c r="B193" s="7" t="s">
        <v>231</v>
      </c>
      <c r="D193" s="89">
        <v>60000</v>
      </c>
      <c r="E193"/>
      <c r="F193" s="36" t="e">
        <f t="shared" ref="F193:Q193" si="102">IF(SUM(F$165:F$168)&gt;1,1,0)</f>
        <v>#REF!</v>
      </c>
      <c r="G193" s="36" t="e">
        <f t="shared" si="102"/>
        <v>#REF!</v>
      </c>
      <c r="H193" s="36" t="e">
        <f t="shared" si="102"/>
        <v>#REF!</v>
      </c>
      <c r="I193" s="36" t="e">
        <f t="shared" si="102"/>
        <v>#REF!</v>
      </c>
      <c r="J193" s="36" t="e">
        <f t="shared" si="102"/>
        <v>#REF!</v>
      </c>
      <c r="K193" s="36" t="e">
        <f t="shared" si="102"/>
        <v>#REF!</v>
      </c>
      <c r="L193" s="36" t="e">
        <f t="shared" si="102"/>
        <v>#REF!</v>
      </c>
      <c r="M193" s="36" t="e">
        <f t="shared" si="102"/>
        <v>#REF!</v>
      </c>
      <c r="N193" s="36" t="e">
        <f t="shared" si="102"/>
        <v>#REF!</v>
      </c>
      <c r="O193" s="36" t="e">
        <f t="shared" si="102"/>
        <v>#REF!</v>
      </c>
      <c r="P193" s="36" t="e">
        <f t="shared" si="102"/>
        <v>#REF!</v>
      </c>
      <c r="Q193" s="36" t="e">
        <f t="shared" si="102"/>
        <v>#REF!</v>
      </c>
    </row>
    <row r="194" spans="1:17" x14ac:dyDescent="0.25">
      <c r="A194" s="37">
        <v>2400</v>
      </c>
      <c r="B194" s="13" t="s">
        <v>232</v>
      </c>
      <c r="D194" s="89">
        <v>35000</v>
      </c>
      <c r="E194"/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5">
      <c r="A195" s="37">
        <v>2400</v>
      </c>
      <c r="B195" s="13" t="s">
        <v>233</v>
      </c>
      <c r="D195" s="89">
        <v>35000</v>
      </c>
      <c r="E195"/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5">
      <c r="A196" s="37">
        <v>2400</v>
      </c>
      <c r="B196" s="13" t="s">
        <v>234</v>
      </c>
      <c r="D196" s="89">
        <v>35000</v>
      </c>
      <c r="E196"/>
      <c r="F196" s="36" t="e">
        <f t="shared" ref="F196:Q196" si="103">IF(SUM(F$165:F$168)&gt;1,1,0)</f>
        <v>#REF!</v>
      </c>
      <c r="G196" s="36" t="e">
        <f t="shared" si="103"/>
        <v>#REF!</v>
      </c>
      <c r="H196" s="36" t="e">
        <f t="shared" si="103"/>
        <v>#REF!</v>
      </c>
      <c r="I196" s="36" t="e">
        <f t="shared" si="103"/>
        <v>#REF!</v>
      </c>
      <c r="J196" s="36" t="e">
        <f t="shared" si="103"/>
        <v>#REF!</v>
      </c>
      <c r="K196" s="36" t="e">
        <f t="shared" si="103"/>
        <v>#REF!</v>
      </c>
      <c r="L196" s="36" t="e">
        <f t="shared" si="103"/>
        <v>#REF!</v>
      </c>
      <c r="M196" s="36" t="e">
        <f t="shared" si="103"/>
        <v>#REF!</v>
      </c>
      <c r="N196" s="36" t="e">
        <f t="shared" si="103"/>
        <v>#REF!</v>
      </c>
      <c r="O196" s="36" t="e">
        <f t="shared" si="103"/>
        <v>#REF!</v>
      </c>
      <c r="P196" s="36" t="e">
        <f t="shared" si="103"/>
        <v>#REF!</v>
      </c>
      <c r="Q196" s="36" t="e">
        <f t="shared" si="103"/>
        <v>#REF!</v>
      </c>
    </row>
    <row r="197" spans="1:17" x14ac:dyDescent="0.25">
      <c r="A197" s="37">
        <v>2400</v>
      </c>
      <c r="B197" s="13" t="s">
        <v>235</v>
      </c>
      <c r="D197" s="89">
        <v>45000</v>
      </c>
      <c r="E197"/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</row>
    <row r="198" spans="1:17" x14ac:dyDescent="0.25">
      <c r="A198" s="37">
        <v>2400</v>
      </c>
      <c r="B198" s="13" t="s">
        <v>223</v>
      </c>
      <c r="D198" s="89">
        <v>45000</v>
      </c>
      <c r="E198"/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</row>
    <row r="199" spans="1:17" x14ac:dyDescent="0.25">
      <c r="A199" s="37">
        <v>2400</v>
      </c>
      <c r="B199" s="13" t="s">
        <v>236</v>
      </c>
      <c r="D199" s="89">
        <v>45000</v>
      </c>
      <c r="E199"/>
      <c r="F199" s="36" t="e">
        <f t="shared" ref="F199:Q199" si="104">IF(SUM(F$165:F$168)&gt;1,1,0)</f>
        <v>#REF!</v>
      </c>
      <c r="G199" s="36" t="e">
        <f t="shared" si="104"/>
        <v>#REF!</v>
      </c>
      <c r="H199" s="36" t="e">
        <f t="shared" si="104"/>
        <v>#REF!</v>
      </c>
      <c r="I199" s="36" t="e">
        <f t="shared" si="104"/>
        <v>#REF!</v>
      </c>
      <c r="J199" s="36" t="e">
        <f t="shared" si="104"/>
        <v>#REF!</v>
      </c>
      <c r="K199" s="36" t="e">
        <f t="shared" si="104"/>
        <v>#REF!</v>
      </c>
      <c r="L199" s="36" t="e">
        <f t="shared" si="104"/>
        <v>#REF!</v>
      </c>
      <c r="M199" s="36" t="e">
        <f t="shared" si="104"/>
        <v>#REF!</v>
      </c>
      <c r="N199" s="36" t="e">
        <f t="shared" si="104"/>
        <v>#REF!</v>
      </c>
      <c r="O199" s="36" t="e">
        <f t="shared" si="104"/>
        <v>#REF!</v>
      </c>
      <c r="P199" s="36" t="e">
        <f t="shared" si="104"/>
        <v>#REF!</v>
      </c>
      <c r="Q199" s="36" t="e">
        <f t="shared" si="104"/>
        <v>#REF!</v>
      </c>
    </row>
    <row r="200" spans="1:17" x14ac:dyDescent="0.25">
      <c r="A200" s="113">
        <v>2400</v>
      </c>
      <c r="B200" s="13" t="s">
        <v>237</v>
      </c>
      <c r="D200" s="89">
        <v>60000</v>
      </c>
      <c r="E200"/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5">
      <c r="A201" s="113">
        <v>2400</v>
      </c>
      <c r="B201" s="13" t="s">
        <v>238</v>
      </c>
      <c r="D201" s="89">
        <v>60000</v>
      </c>
      <c r="E201"/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</row>
    <row r="202" spans="1:17" x14ac:dyDescent="0.25">
      <c r="A202" s="113">
        <v>2400</v>
      </c>
      <c r="B202" s="13" t="s">
        <v>239</v>
      </c>
      <c r="D202" s="89">
        <v>60000</v>
      </c>
      <c r="E202"/>
      <c r="F202" s="36" t="e">
        <f t="shared" ref="F202:Q202" si="105">IF(SUM(F$165:F$168)&gt;1,1,0)</f>
        <v>#REF!</v>
      </c>
      <c r="G202" s="36" t="e">
        <f t="shared" si="105"/>
        <v>#REF!</v>
      </c>
      <c r="H202" s="36" t="e">
        <f t="shared" si="105"/>
        <v>#REF!</v>
      </c>
      <c r="I202" s="36" t="e">
        <f t="shared" si="105"/>
        <v>#REF!</v>
      </c>
      <c r="J202" s="36" t="e">
        <f t="shared" si="105"/>
        <v>#REF!</v>
      </c>
      <c r="K202" s="36" t="e">
        <f t="shared" si="105"/>
        <v>#REF!</v>
      </c>
      <c r="L202" s="36" t="e">
        <f t="shared" si="105"/>
        <v>#REF!</v>
      </c>
      <c r="M202" s="36" t="e">
        <f t="shared" si="105"/>
        <v>#REF!</v>
      </c>
      <c r="N202" s="36" t="e">
        <f t="shared" si="105"/>
        <v>#REF!</v>
      </c>
      <c r="O202" s="36" t="e">
        <f t="shared" si="105"/>
        <v>#REF!</v>
      </c>
      <c r="P202" s="36" t="e">
        <f t="shared" si="105"/>
        <v>#REF!</v>
      </c>
      <c r="Q202" s="36" t="e">
        <f t="shared" si="105"/>
        <v>#REF!</v>
      </c>
    </row>
    <row r="203" spans="1:17" x14ac:dyDescent="0.25">
      <c r="A203" s="37">
        <v>2400</v>
      </c>
      <c r="B203" s="13" t="s">
        <v>224</v>
      </c>
      <c r="D203" s="89">
        <v>25000</v>
      </c>
      <c r="E203"/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5">
      <c r="A204" s="37">
        <v>2400</v>
      </c>
      <c r="B204" s="13" t="s">
        <v>225</v>
      </c>
      <c r="D204" s="89">
        <v>25000</v>
      </c>
      <c r="E204"/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</row>
    <row r="205" spans="1:17" x14ac:dyDescent="0.25">
      <c r="A205" s="37">
        <v>2400</v>
      </c>
      <c r="B205" s="13" t="s">
        <v>226</v>
      </c>
      <c r="D205" s="89">
        <v>25000</v>
      </c>
      <c r="E205"/>
      <c r="F205" s="36" t="e">
        <f t="shared" ref="F205:Q205" si="106">IF(SUM(F$165:F$168)&gt;1,1,0)</f>
        <v>#REF!</v>
      </c>
      <c r="G205" s="36" t="e">
        <f t="shared" si="106"/>
        <v>#REF!</v>
      </c>
      <c r="H205" s="36" t="e">
        <f t="shared" si="106"/>
        <v>#REF!</v>
      </c>
      <c r="I205" s="36" t="e">
        <f t="shared" si="106"/>
        <v>#REF!</v>
      </c>
      <c r="J205" s="36" t="e">
        <f t="shared" si="106"/>
        <v>#REF!</v>
      </c>
      <c r="K205" s="36" t="e">
        <f t="shared" si="106"/>
        <v>#REF!</v>
      </c>
      <c r="L205" s="36" t="e">
        <f t="shared" si="106"/>
        <v>#REF!</v>
      </c>
      <c r="M205" s="36" t="e">
        <f t="shared" si="106"/>
        <v>#REF!</v>
      </c>
      <c r="N205" s="36" t="e">
        <f t="shared" si="106"/>
        <v>#REF!</v>
      </c>
      <c r="O205" s="36" t="e">
        <f t="shared" si="106"/>
        <v>#REF!</v>
      </c>
      <c r="P205" s="36" t="e">
        <f t="shared" si="106"/>
        <v>#REF!</v>
      </c>
      <c r="Q205" s="36" t="e">
        <f t="shared" si="106"/>
        <v>#REF!</v>
      </c>
    </row>
    <row r="206" spans="1:17" x14ac:dyDescent="0.25">
      <c r="A206" s="37">
        <v>2400</v>
      </c>
      <c r="B206" s="13" t="s">
        <v>171</v>
      </c>
      <c r="D206" s="89">
        <v>50000</v>
      </c>
      <c r="E206"/>
      <c r="F206" s="83">
        <v>0</v>
      </c>
      <c r="G206" s="83">
        <v>0</v>
      </c>
      <c r="H206" s="83">
        <v>0</v>
      </c>
      <c r="I206">
        <f t="shared" ref="I206:Q207" si="107">H206</f>
        <v>0</v>
      </c>
      <c r="J206">
        <f t="shared" si="107"/>
        <v>0</v>
      </c>
      <c r="K206">
        <f t="shared" si="107"/>
        <v>0</v>
      </c>
      <c r="L206">
        <f t="shared" si="107"/>
        <v>0</v>
      </c>
      <c r="M206">
        <f t="shared" si="107"/>
        <v>0</v>
      </c>
      <c r="N206">
        <f t="shared" si="107"/>
        <v>0</v>
      </c>
      <c r="O206">
        <f t="shared" si="107"/>
        <v>0</v>
      </c>
      <c r="P206">
        <f t="shared" si="107"/>
        <v>0</v>
      </c>
      <c r="Q206">
        <f t="shared" si="107"/>
        <v>0</v>
      </c>
    </row>
    <row r="207" spans="1:17" x14ac:dyDescent="0.25">
      <c r="A207" s="37">
        <v>2400</v>
      </c>
      <c r="B207" s="13" t="s">
        <v>171</v>
      </c>
      <c r="D207" s="89">
        <v>50000</v>
      </c>
      <c r="E207"/>
      <c r="F207" s="83">
        <v>0</v>
      </c>
      <c r="G207" s="83">
        <v>0</v>
      </c>
      <c r="H207" s="83">
        <v>0</v>
      </c>
      <c r="I207">
        <f t="shared" si="107"/>
        <v>0</v>
      </c>
      <c r="J207" s="44">
        <v>0</v>
      </c>
      <c r="K207">
        <f t="shared" si="107"/>
        <v>0</v>
      </c>
      <c r="L207">
        <f t="shared" si="107"/>
        <v>0</v>
      </c>
      <c r="M207">
        <f t="shared" si="107"/>
        <v>0</v>
      </c>
      <c r="N207">
        <f t="shared" si="107"/>
        <v>0</v>
      </c>
      <c r="O207">
        <f t="shared" si="107"/>
        <v>0</v>
      </c>
      <c r="P207">
        <f t="shared" si="107"/>
        <v>0</v>
      </c>
      <c r="Q207">
        <f t="shared" si="107"/>
        <v>0</v>
      </c>
    </row>
    <row r="208" spans="1:17" x14ac:dyDescent="0.25">
      <c r="A208" s="37">
        <v>1300</v>
      </c>
      <c r="B208" s="13" t="s">
        <v>243</v>
      </c>
      <c r="D208" s="89">
        <v>55000</v>
      </c>
      <c r="E208"/>
      <c r="F208" s="36" t="e">
        <f t="shared" ref="F208:Q208" si="108">IF(SUM(F$165:F$168)&gt;1,1,0)</f>
        <v>#REF!</v>
      </c>
      <c r="G208" s="36" t="e">
        <f t="shared" si="108"/>
        <v>#REF!</v>
      </c>
      <c r="H208" s="36" t="e">
        <f t="shared" si="108"/>
        <v>#REF!</v>
      </c>
      <c r="I208" s="36" t="e">
        <f t="shared" si="108"/>
        <v>#REF!</v>
      </c>
      <c r="J208" s="36" t="e">
        <f t="shared" si="108"/>
        <v>#REF!</v>
      </c>
      <c r="K208" s="36" t="e">
        <f t="shared" si="108"/>
        <v>#REF!</v>
      </c>
      <c r="L208" s="36" t="e">
        <f t="shared" si="108"/>
        <v>#REF!</v>
      </c>
      <c r="M208" s="36" t="e">
        <f t="shared" si="108"/>
        <v>#REF!</v>
      </c>
      <c r="N208" s="36" t="e">
        <f t="shared" si="108"/>
        <v>#REF!</v>
      </c>
      <c r="O208" s="36" t="e">
        <f t="shared" si="108"/>
        <v>#REF!</v>
      </c>
      <c r="P208" s="36" t="e">
        <f t="shared" si="108"/>
        <v>#REF!</v>
      </c>
      <c r="Q208" s="36" t="e">
        <f t="shared" si="108"/>
        <v>#REF!</v>
      </c>
    </row>
    <row r="209" spans="1:17" x14ac:dyDescent="0.25">
      <c r="A209" s="37">
        <v>1300</v>
      </c>
      <c r="B209" s="13" t="s">
        <v>241</v>
      </c>
      <c r="D209" s="89">
        <v>80000</v>
      </c>
      <c r="E209"/>
      <c r="F209" s="36">
        <f t="shared" ref="F209:Q209" si="109">IF(SUM(F$161:F$164)&gt;1,1,0)</f>
        <v>0</v>
      </c>
      <c r="G209" s="36">
        <f t="shared" si="109"/>
        <v>0</v>
      </c>
      <c r="H209" s="36">
        <f t="shared" si="109"/>
        <v>0</v>
      </c>
      <c r="I209" s="36">
        <f t="shared" si="109"/>
        <v>0</v>
      </c>
      <c r="J209" s="36">
        <f t="shared" si="109"/>
        <v>0</v>
      </c>
      <c r="K209" s="36">
        <f t="shared" si="109"/>
        <v>0</v>
      </c>
      <c r="L209" s="36">
        <f t="shared" si="109"/>
        <v>0</v>
      </c>
      <c r="M209" s="36">
        <f t="shared" si="109"/>
        <v>0</v>
      </c>
      <c r="N209" s="36">
        <f t="shared" si="109"/>
        <v>0</v>
      </c>
      <c r="O209" s="36">
        <f t="shared" si="109"/>
        <v>0</v>
      </c>
      <c r="P209" s="36">
        <f t="shared" si="109"/>
        <v>0</v>
      </c>
      <c r="Q209" s="36">
        <f t="shared" si="109"/>
        <v>0</v>
      </c>
    </row>
    <row r="210" spans="1:17" x14ac:dyDescent="0.25">
      <c r="A210" s="37">
        <v>1300</v>
      </c>
      <c r="B210" s="13" t="s">
        <v>240</v>
      </c>
      <c r="D210" s="89">
        <v>80000</v>
      </c>
      <c r="E210"/>
      <c r="F210" s="36" t="e">
        <f t="shared" ref="F210:Q211" si="110">IF(SUM(F$165:F$168)&gt;1,1,0)</f>
        <v>#REF!</v>
      </c>
      <c r="G210" s="36" t="e">
        <f t="shared" si="110"/>
        <v>#REF!</v>
      </c>
      <c r="H210" s="36" t="e">
        <f t="shared" si="110"/>
        <v>#REF!</v>
      </c>
      <c r="I210" s="36" t="e">
        <f t="shared" si="110"/>
        <v>#REF!</v>
      </c>
      <c r="J210" s="36" t="e">
        <f t="shared" si="110"/>
        <v>#REF!</v>
      </c>
      <c r="K210" s="36" t="e">
        <f t="shared" si="110"/>
        <v>#REF!</v>
      </c>
      <c r="L210" s="36" t="e">
        <f t="shared" si="110"/>
        <v>#REF!</v>
      </c>
      <c r="M210" s="36" t="e">
        <f t="shared" si="110"/>
        <v>#REF!</v>
      </c>
      <c r="N210" s="36" t="e">
        <f t="shared" si="110"/>
        <v>#REF!</v>
      </c>
      <c r="O210" s="36" t="e">
        <f t="shared" si="110"/>
        <v>#REF!</v>
      </c>
      <c r="P210" s="36" t="e">
        <f t="shared" si="110"/>
        <v>#REF!</v>
      </c>
      <c r="Q210" s="36" t="e">
        <f t="shared" si="110"/>
        <v>#REF!</v>
      </c>
    </row>
    <row r="211" spans="1:17" x14ac:dyDescent="0.25">
      <c r="A211" s="37">
        <v>1300</v>
      </c>
      <c r="B211" s="13" t="s">
        <v>242</v>
      </c>
      <c r="D211" s="89">
        <v>50000</v>
      </c>
      <c r="E211"/>
      <c r="F211" s="36" t="e">
        <f t="shared" si="110"/>
        <v>#REF!</v>
      </c>
      <c r="G211" s="36" t="e">
        <f t="shared" si="110"/>
        <v>#REF!</v>
      </c>
      <c r="H211" s="36" t="e">
        <f t="shared" si="110"/>
        <v>#REF!</v>
      </c>
      <c r="I211" s="36" t="e">
        <f t="shared" si="110"/>
        <v>#REF!</v>
      </c>
      <c r="J211" s="36" t="e">
        <f t="shared" si="110"/>
        <v>#REF!</v>
      </c>
      <c r="K211" s="36" t="e">
        <f t="shared" si="110"/>
        <v>#REF!</v>
      </c>
      <c r="L211" s="36" t="e">
        <f t="shared" si="110"/>
        <v>#REF!</v>
      </c>
      <c r="M211" s="36" t="e">
        <f t="shared" si="110"/>
        <v>#REF!</v>
      </c>
      <c r="N211" s="36" t="e">
        <f t="shared" si="110"/>
        <v>#REF!</v>
      </c>
      <c r="O211" s="36" t="e">
        <f t="shared" si="110"/>
        <v>#REF!</v>
      </c>
      <c r="P211" s="36" t="e">
        <f t="shared" si="110"/>
        <v>#REF!</v>
      </c>
      <c r="Q211" s="36" t="e">
        <f t="shared" si="110"/>
        <v>#REF!</v>
      </c>
    </row>
    <row r="212" spans="1:17" x14ac:dyDescent="0.25">
      <c r="A212" s="15">
        <v>1110</v>
      </c>
      <c r="B212" s="13" t="s">
        <v>12</v>
      </c>
      <c r="D212" s="89">
        <v>52000</v>
      </c>
      <c r="E212"/>
      <c r="F212" s="36">
        <f t="shared" ref="F212:I215" si="111">IF(SUM(F$156)&gt;1,1,0)</f>
        <v>0</v>
      </c>
      <c r="G212" s="36">
        <f t="shared" si="111"/>
        <v>0</v>
      </c>
      <c r="H212" s="36">
        <f t="shared" si="111"/>
        <v>0</v>
      </c>
      <c r="I212" s="36">
        <f t="shared" si="111"/>
        <v>0</v>
      </c>
      <c r="J212" s="36">
        <f t="shared" ref="J212:M213" si="112">I212</f>
        <v>0</v>
      </c>
      <c r="K212" s="36">
        <f t="shared" si="112"/>
        <v>0</v>
      </c>
      <c r="L212" s="36">
        <f t="shared" si="112"/>
        <v>0</v>
      </c>
      <c r="M212" s="36">
        <f t="shared" si="112"/>
        <v>0</v>
      </c>
      <c r="N212" s="36">
        <f>IF(SUM(N$156)&gt;1,1,0)</f>
        <v>0</v>
      </c>
      <c r="O212" s="36">
        <f>N212</f>
        <v>0</v>
      </c>
      <c r="P212" s="36">
        <f>O212</f>
        <v>0</v>
      </c>
      <c r="Q212" s="36">
        <f>P212</f>
        <v>0</v>
      </c>
    </row>
    <row r="213" spans="1:17" x14ac:dyDescent="0.25">
      <c r="A213" s="15">
        <v>1110</v>
      </c>
      <c r="B213" s="13" t="s">
        <v>12</v>
      </c>
      <c r="D213" s="89">
        <v>52000</v>
      </c>
      <c r="E213"/>
      <c r="F213" s="36">
        <f t="shared" si="111"/>
        <v>0</v>
      </c>
      <c r="G213" s="36">
        <f t="shared" si="111"/>
        <v>0</v>
      </c>
      <c r="H213" s="36">
        <f t="shared" si="111"/>
        <v>0</v>
      </c>
      <c r="I213" s="36">
        <f t="shared" si="111"/>
        <v>0</v>
      </c>
      <c r="J213" s="36">
        <f t="shared" si="112"/>
        <v>0</v>
      </c>
      <c r="K213" s="36">
        <f t="shared" si="112"/>
        <v>0</v>
      </c>
      <c r="L213" s="36">
        <f t="shared" si="112"/>
        <v>0</v>
      </c>
      <c r="M213" s="36">
        <f t="shared" si="112"/>
        <v>0</v>
      </c>
      <c r="N213" s="36">
        <f>IF(SUM(N$156)&gt;1,1,0)</f>
        <v>0</v>
      </c>
      <c r="O213" s="36">
        <f t="shared" ref="O213:Q236" si="113">N213</f>
        <v>0</v>
      </c>
      <c r="P213" s="36">
        <f t="shared" si="113"/>
        <v>0</v>
      </c>
      <c r="Q213" s="36">
        <f t="shared" si="113"/>
        <v>0</v>
      </c>
    </row>
    <row r="214" spans="1:17" x14ac:dyDescent="0.25">
      <c r="A214" s="15">
        <v>1110</v>
      </c>
      <c r="B214" s="13" t="s">
        <v>12</v>
      </c>
      <c r="D214" s="89">
        <v>52000</v>
      </c>
      <c r="E214"/>
      <c r="F214" s="36">
        <f t="shared" si="111"/>
        <v>0</v>
      </c>
      <c r="G214" s="36">
        <f t="shared" si="111"/>
        <v>0</v>
      </c>
      <c r="H214" s="36">
        <f t="shared" si="111"/>
        <v>0</v>
      </c>
      <c r="I214" s="36">
        <f t="shared" si="111"/>
        <v>0</v>
      </c>
      <c r="J214" s="36">
        <v>0</v>
      </c>
      <c r="K214" s="36">
        <f>J214</f>
        <v>0</v>
      </c>
      <c r="L214" s="36">
        <f>K214</f>
        <v>0</v>
      </c>
      <c r="M214" s="36">
        <f>L214</f>
        <v>0</v>
      </c>
      <c r="N214" s="36">
        <f>M214</f>
        <v>0</v>
      </c>
      <c r="O214" s="36">
        <f t="shared" si="113"/>
        <v>0</v>
      </c>
      <c r="P214" s="36">
        <f t="shared" si="113"/>
        <v>0</v>
      </c>
      <c r="Q214" s="36">
        <f t="shared" si="113"/>
        <v>0</v>
      </c>
    </row>
    <row r="215" spans="1:17" x14ac:dyDescent="0.25">
      <c r="A215" s="15">
        <v>1110</v>
      </c>
      <c r="B215" s="13" t="s">
        <v>12</v>
      </c>
      <c r="D215" s="89">
        <v>52000</v>
      </c>
      <c r="E215"/>
      <c r="F215" s="36">
        <f t="shared" si="111"/>
        <v>0</v>
      </c>
      <c r="G215" s="36">
        <f t="shared" si="111"/>
        <v>0</v>
      </c>
      <c r="H215" s="36">
        <f t="shared" si="111"/>
        <v>0</v>
      </c>
      <c r="I215" s="36">
        <f t="shared" si="111"/>
        <v>0</v>
      </c>
      <c r="J215" s="36">
        <v>0</v>
      </c>
      <c r="K215" s="36">
        <f t="shared" ref="K215:N216" si="114">J215</f>
        <v>0</v>
      </c>
      <c r="L215" s="36">
        <f t="shared" si="114"/>
        <v>0</v>
      </c>
      <c r="M215" s="36">
        <f t="shared" si="114"/>
        <v>0</v>
      </c>
      <c r="N215" s="36">
        <f t="shared" si="114"/>
        <v>0</v>
      </c>
      <c r="O215" s="36">
        <f t="shared" si="113"/>
        <v>0</v>
      </c>
      <c r="P215" s="36">
        <f t="shared" si="113"/>
        <v>0</v>
      </c>
      <c r="Q215" s="36">
        <f t="shared" si="113"/>
        <v>0</v>
      </c>
    </row>
    <row r="216" spans="1:17" x14ac:dyDescent="0.25">
      <c r="A216" s="15">
        <v>1110</v>
      </c>
      <c r="B216" s="13" t="s">
        <v>12</v>
      </c>
      <c r="D216" s="89">
        <v>52000</v>
      </c>
      <c r="E216"/>
      <c r="F216" s="36">
        <f>IF(SUM(F$156)&gt;1,1,0)</f>
        <v>0</v>
      </c>
      <c r="G216" s="36">
        <f>IF(SUM(G$156)&gt;1,1,0)</f>
        <v>0</v>
      </c>
      <c r="H216" s="36">
        <f>IF(SUM(H$156)&gt;1,1,0)</f>
        <v>0</v>
      </c>
      <c r="I216" s="36">
        <v>0</v>
      </c>
      <c r="J216" s="36">
        <v>0</v>
      </c>
      <c r="K216" s="36">
        <f t="shared" si="114"/>
        <v>0</v>
      </c>
      <c r="L216" s="36">
        <f t="shared" si="114"/>
        <v>0</v>
      </c>
      <c r="M216" s="36">
        <f t="shared" si="114"/>
        <v>0</v>
      </c>
      <c r="N216" s="36">
        <f t="shared" si="114"/>
        <v>0</v>
      </c>
      <c r="O216" s="36">
        <f t="shared" si="113"/>
        <v>0</v>
      </c>
      <c r="P216" s="36">
        <f t="shared" si="113"/>
        <v>0</v>
      </c>
      <c r="Q216" s="36">
        <f t="shared" si="113"/>
        <v>0</v>
      </c>
    </row>
    <row r="217" spans="1:17" x14ac:dyDescent="0.25">
      <c r="A217" s="15">
        <v>1110</v>
      </c>
      <c r="B217" s="14" t="s">
        <v>13</v>
      </c>
      <c r="D217" s="89">
        <v>52000</v>
      </c>
      <c r="E217"/>
      <c r="F217" s="36">
        <f t="shared" ref="F217:K220" si="115">IF(SUM(F$157)&gt;1,1,0)</f>
        <v>0</v>
      </c>
      <c r="G217" s="36">
        <f t="shared" si="115"/>
        <v>0</v>
      </c>
      <c r="H217" s="36">
        <f t="shared" si="115"/>
        <v>0</v>
      </c>
      <c r="I217" s="36">
        <f t="shared" si="115"/>
        <v>0</v>
      </c>
      <c r="J217" s="36">
        <f t="shared" si="115"/>
        <v>0</v>
      </c>
      <c r="K217" s="36">
        <f t="shared" si="115"/>
        <v>0</v>
      </c>
      <c r="L217" s="36">
        <f>K217</f>
        <v>0</v>
      </c>
      <c r="M217" s="36">
        <f>L217</f>
        <v>0</v>
      </c>
      <c r="N217" s="36">
        <f>M217</f>
        <v>0</v>
      </c>
      <c r="O217" s="36">
        <f t="shared" si="113"/>
        <v>0</v>
      </c>
      <c r="P217" s="36">
        <f t="shared" si="113"/>
        <v>0</v>
      </c>
      <c r="Q217" s="36">
        <f t="shared" si="113"/>
        <v>0</v>
      </c>
    </row>
    <row r="218" spans="1:17" x14ac:dyDescent="0.25">
      <c r="A218" s="15">
        <v>1110</v>
      </c>
      <c r="B218" s="14" t="s">
        <v>13</v>
      </c>
      <c r="D218" s="89">
        <v>52000</v>
      </c>
      <c r="E218"/>
      <c r="F218" s="36">
        <f t="shared" si="115"/>
        <v>0</v>
      </c>
      <c r="G218" s="36">
        <f t="shared" si="115"/>
        <v>0</v>
      </c>
      <c r="H218" s="36">
        <f t="shared" si="115"/>
        <v>0</v>
      </c>
      <c r="I218" s="36">
        <f t="shared" si="115"/>
        <v>0</v>
      </c>
      <c r="J218" s="36">
        <f t="shared" si="115"/>
        <v>0</v>
      </c>
      <c r="K218" s="36">
        <f t="shared" si="115"/>
        <v>0</v>
      </c>
      <c r="L218" s="36">
        <f t="shared" ref="L218:N221" si="116">K218</f>
        <v>0</v>
      </c>
      <c r="M218" s="36">
        <f t="shared" si="116"/>
        <v>0</v>
      </c>
      <c r="N218" s="36">
        <f t="shared" si="116"/>
        <v>0</v>
      </c>
      <c r="O218" s="36">
        <f t="shared" si="113"/>
        <v>0</v>
      </c>
      <c r="P218" s="36">
        <f t="shared" si="113"/>
        <v>0</v>
      </c>
      <c r="Q218" s="36">
        <f t="shared" si="113"/>
        <v>0</v>
      </c>
    </row>
    <row r="219" spans="1:17" x14ac:dyDescent="0.25">
      <c r="A219" s="15">
        <v>1110</v>
      </c>
      <c r="B219" s="14" t="s">
        <v>13</v>
      </c>
      <c r="D219" s="89">
        <v>52000</v>
      </c>
      <c r="E219"/>
      <c r="F219" s="36">
        <f t="shared" si="115"/>
        <v>0</v>
      </c>
      <c r="G219" s="36">
        <f t="shared" si="115"/>
        <v>0</v>
      </c>
      <c r="H219" s="36">
        <f t="shared" si="115"/>
        <v>0</v>
      </c>
      <c r="I219" s="36">
        <f t="shared" si="115"/>
        <v>0</v>
      </c>
      <c r="J219" s="36">
        <f t="shared" si="115"/>
        <v>0</v>
      </c>
      <c r="K219" s="36">
        <v>0</v>
      </c>
      <c r="L219" s="36">
        <f t="shared" si="116"/>
        <v>0</v>
      </c>
      <c r="M219" s="36">
        <f t="shared" si="116"/>
        <v>0</v>
      </c>
      <c r="N219" s="36">
        <f t="shared" si="116"/>
        <v>0</v>
      </c>
      <c r="O219" s="36">
        <f t="shared" si="113"/>
        <v>0</v>
      </c>
      <c r="P219" s="36">
        <f t="shared" si="113"/>
        <v>0</v>
      </c>
      <c r="Q219" s="36">
        <f t="shared" si="113"/>
        <v>0</v>
      </c>
    </row>
    <row r="220" spans="1:17" x14ac:dyDescent="0.25">
      <c r="A220" s="15">
        <v>1110</v>
      </c>
      <c r="B220" s="14" t="s">
        <v>13</v>
      </c>
      <c r="D220" s="89">
        <v>52000</v>
      </c>
      <c r="E220"/>
      <c r="F220" s="36">
        <f t="shared" si="115"/>
        <v>0</v>
      </c>
      <c r="G220" s="36">
        <f t="shared" si="115"/>
        <v>0</v>
      </c>
      <c r="H220" s="36">
        <f t="shared" si="115"/>
        <v>0</v>
      </c>
      <c r="I220" s="36">
        <f t="shared" si="115"/>
        <v>0</v>
      </c>
      <c r="J220" s="36">
        <f t="shared" si="115"/>
        <v>0</v>
      </c>
      <c r="K220" s="36">
        <v>0</v>
      </c>
      <c r="L220" s="36">
        <f t="shared" si="116"/>
        <v>0</v>
      </c>
      <c r="M220" s="36">
        <f t="shared" si="116"/>
        <v>0</v>
      </c>
      <c r="N220" s="36">
        <f t="shared" si="116"/>
        <v>0</v>
      </c>
      <c r="O220" s="36">
        <f t="shared" si="113"/>
        <v>0</v>
      </c>
      <c r="P220" s="36">
        <f t="shared" si="113"/>
        <v>0</v>
      </c>
      <c r="Q220" s="36">
        <f t="shared" si="113"/>
        <v>0</v>
      </c>
    </row>
    <row r="221" spans="1:17" x14ac:dyDescent="0.25">
      <c r="A221" s="15">
        <v>1110</v>
      </c>
      <c r="B221" s="14" t="s">
        <v>13</v>
      </c>
      <c r="D221" s="89">
        <v>52000</v>
      </c>
      <c r="E221"/>
      <c r="F221" s="36">
        <f>IF(SUM(F$157)&gt;1,1,0)</f>
        <v>0</v>
      </c>
      <c r="G221" s="36">
        <f>IF(SUM(G$157)&gt;1,1,0)</f>
        <v>0</v>
      </c>
      <c r="H221" s="36">
        <f>IF(SUM(H$157)&gt;1,1,0)</f>
        <v>0</v>
      </c>
      <c r="I221" s="36">
        <f>IF(SUM(I$157)&gt;1,1,0)</f>
        <v>0</v>
      </c>
      <c r="J221" s="36">
        <v>0</v>
      </c>
      <c r="K221" s="36">
        <v>0</v>
      </c>
      <c r="L221" s="36">
        <f t="shared" si="116"/>
        <v>0</v>
      </c>
      <c r="M221" s="36">
        <f t="shared" si="116"/>
        <v>0</v>
      </c>
      <c r="N221" s="36">
        <f t="shared" si="116"/>
        <v>0</v>
      </c>
      <c r="O221" s="36">
        <f t="shared" si="113"/>
        <v>0</v>
      </c>
      <c r="P221" s="36">
        <f t="shared" si="113"/>
        <v>0</v>
      </c>
      <c r="Q221" s="36">
        <f t="shared" si="113"/>
        <v>0</v>
      </c>
    </row>
    <row r="222" spans="1:17" x14ac:dyDescent="0.25">
      <c r="A222" s="15">
        <v>1110</v>
      </c>
      <c r="B222" s="7" t="s">
        <v>14</v>
      </c>
      <c r="D222" s="89">
        <v>52000</v>
      </c>
      <c r="E222"/>
      <c r="F222" s="36">
        <f t="shared" ref="F222:L225" si="117">IF(SUM(F$158)&gt;1,1,0)</f>
        <v>0</v>
      </c>
      <c r="G222" s="36">
        <f t="shared" si="117"/>
        <v>0</v>
      </c>
      <c r="H222" s="36">
        <f t="shared" si="117"/>
        <v>0</v>
      </c>
      <c r="I222" s="36">
        <f t="shared" si="117"/>
        <v>0</v>
      </c>
      <c r="J222" s="36">
        <f t="shared" si="117"/>
        <v>0</v>
      </c>
      <c r="K222" s="36">
        <f t="shared" si="117"/>
        <v>0</v>
      </c>
      <c r="L222" s="36">
        <f t="shared" si="117"/>
        <v>0</v>
      </c>
      <c r="M222" s="36">
        <f>L222</f>
        <v>0</v>
      </c>
      <c r="N222" s="36">
        <f>M222</f>
        <v>0</v>
      </c>
      <c r="O222" s="36">
        <f t="shared" si="113"/>
        <v>0</v>
      </c>
      <c r="P222" s="36">
        <f t="shared" si="113"/>
        <v>0</v>
      </c>
      <c r="Q222" s="36">
        <f t="shared" si="113"/>
        <v>0</v>
      </c>
    </row>
    <row r="223" spans="1:17" x14ac:dyDescent="0.25">
      <c r="A223" s="15">
        <v>1110</v>
      </c>
      <c r="B223" s="7" t="s">
        <v>14</v>
      </c>
      <c r="D223" s="89">
        <v>52000</v>
      </c>
      <c r="E223"/>
      <c r="F223" s="36">
        <f t="shared" si="117"/>
        <v>0</v>
      </c>
      <c r="G223" s="36">
        <f t="shared" si="117"/>
        <v>0</v>
      </c>
      <c r="H223" s="36">
        <f t="shared" si="117"/>
        <v>0</v>
      </c>
      <c r="I223" s="36">
        <f t="shared" si="117"/>
        <v>0</v>
      </c>
      <c r="J223" s="36">
        <f t="shared" si="117"/>
        <v>0</v>
      </c>
      <c r="K223" s="36">
        <f t="shared" si="117"/>
        <v>0</v>
      </c>
      <c r="L223" s="36">
        <f t="shared" si="117"/>
        <v>0</v>
      </c>
      <c r="M223" s="36">
        <f t="shared" ref="M223:N226" si="118">L223</f>
        <v>0</v>
      </c>
      <c r="N223" s="36">
        <f t="shared" si="118"/>
        <v>0</v>
      </c>
      <c r="O223" s="36">
        <f t="shared" si="113"/>
        <v>0</v>
      </c>
      <c r="P223" s="36">
        <f t="shared" si="113"/>
        <v>0</v>
      </c>
      <c r="Q223" s="36">
        <f t="shared" si="113"/>
        <v>0</v>
      </c>
    </row>
    <row r="224" spans="1:17" x14ac:dyDescent="0.25">
      <c r="A224" s="15">
        <v>1110</v>
      </c>
      <c r="B224" s="7" t="s">
        <v>14</v>
      </c>
      <c r="D224" s="89">
        <v>52000</v>
      </c>
      <c r="E224"/>
      <c r="F224" s="36">
        <f t="shared" si="117"/>
        <v>0</v>
      </c>
      <c r="G224" s="36">
        <f t="shared" si="117"/>
        <v>0</v>
      </c>
      <c r="H224" s="36">
        <f t="shared" si="117"/>
        <v>0</v>
      </c>
      <c r="I224" s="36">
        <f t="shared" si="117"/>
        <v>0</v>
      </c>
      <c r="J224" s="36">
        <f t="shared" si="117"/>
        <v>0</v>
      </c>
      <c r="K224" s="36">
        <f t="shared" si="117"/>
        <v>0</v>
      </c>
      <c r="L224" s="36">
        <v>0</v>
      </c>
      <c r="M224" s="36">
        <f t="shared" si="118"/>
        <v>0</v>
      </c>
      <c r="N224" s="36">
        <f t="shared" si="118"/>
        <v>0</v>
      </c>
      <c r="O224" s="36">
        <f t="shared" si="113"/>
        <v>0</v>
      </c>
      <c r="P224" s="36">
        <f t="shared" si="113"/>
        <v>0</v>
      </c>
      <c r="Q224" s="36">
        <f t="shared" si="113"/>
        <v>0</v>
      </c>
    </row>
    <row r="225" spans="1:17" x14ac:dyDescent="0.25">
      <c r="A225" s="15">
        <v>1110</v>
      </c>
      <c r="B225" s="7" t="s">
        <v>14</v>
      </c>
      <c r="D225" s="89">
        <v>52000</v>
      </c>
      <c r="E225"/>
      <c r="F225" s="36">
        <f t="shared" si="117"/>
        <v>0</v>
      </c>
      <c r="G225" s="36">
        <f t="shared" si="117"/>
        <v>0</v>
      </c>
      <c r="H225" s="36">
        <f t="shared" si="117"/>
        <v>0</v>
      </c>
      <c r="I225" s="36">
        <f t="shared" si="117"/>
        <v>0</v>
      </c>
      <c r="J225" s="36">
        <f t="shared" si="117"/>
        <v>0</v>
      </c>
      <c r="K225" s="36">
        <f t="shared" si="117"/>
        <v>0</v>
      </c>
      <c r="L225" s="36">
        <v>0</v>
      </c>
      <c r="M225" s="36">
        <f t="shared" si="118"/>
        <v>0</v>
      </c>
      <c r="N225" s="36">
        <f t="shared" si="118"/>
        <v>0</v>
      </c>
      <c r="O225" s="36">
        <f t="shared" si="113"/>
        <v>0</v>
      </c>
      <c r="P225" s="36">
        <f t="shared" si="113"/>
        <v>0</v>
      </c>
      <c r="Q225" s="36">
        <f t="shared" si="113"/>
        <v>0</v>
      </c>
    </row>
    <row r="226" spans="1:17" x14ac:dyDescent="0.25">
      <c r="A226" s="15">
        <v>1110</v>
      </c>
      <c r="B226" s="7" t="s">
        <v>14</v>
      </c>
      <c r="D226" s="89">
        <v>52000</v>
      </c>
      <c r="E226"/>
      <c r="F226" s="36">
        <f>IF(SUM(F$158)&gt;1,1,0)</f>
        <v>0</v>
      </c>
      <c r="G226" s="36">
        <f>IF(SUM(G$158)&gt;1,1,0)</f>
        <v>0</v>
      </c>
      <c r="H226" s="36">
        <f>IF(SUM(H$158)&gt;1,1,0)</f>
        <v>0</v>
      </c>
      <c r="I226" s="36">
        <f>IF(SUM(I$158)&gt;1,1,0)</f>
        <v>0</v>
      </c>
      <c r="J226" s="36">
        <f>IF(SUM(J$158)&gt;1,1,0)</f>
        <v>0</v>
      </c>
      <c r="K226" s="36">
        <v>0</v>
      </c>
      <c r="L226" s="36">
        <v>0</v>
      </c>
      <c r="M226" s="36">
        <f t="shared" si="118"/>
        <v>0</v>
      </c>
      <c r="N226" s="36">
        <f t="shared" si="118"/>
        <v>0</v>
      </c>
      <c r="O226" s="36">
        <f t="shared" si="113"/>
        <v>0</v>
      </c>
      <c r="P226" s="36">
        <f t="shared" si="113"/>
        <v>0</v>
      </c>
      <c r="Q226" s="36">
        <f t="shared" si="113"/>
        <v>0</v>
      </c>
    </row>
    <row r="227" spans="1:17" x14ac:dyDescent="0.25">
      <c r="A227" s="15">
        <v>1110</v>
      </c>
      <c r="B227" s="7" t="s">
        <v>15</v>
      </c>
      <c r="D227" s="89">
        <v>52000</v>
      </c>
      <c r="E227"/>
      <c r="F227" s="36">
        <f t="shared" ref="F227:M231" si="119">IF(SUM(F$159)&gt;1,1,0)</f>
        <v>0</v>
      </c>
      <c r="G227" s="36">
        <f t="shared" si="119"/>
        <v>0</v>
      </c>
      <c r="H227" s="36">
        <f t="shared" si="119"/>
        <v>0</v>
      </c>
      <c r="I227" s="36">
        <f t="shared" si="119"/>
        <v>0</v>
      </c>
      <c r="J227" s="36">
        <f t="shared" si="119"/>
        <v>0</v>
      </c>
      <c r="K227" s="36">
        <f t="shared" si="119"/>
        <v>0</v>
      </c>
      <c r="L227" s="36">
        <f t="shared" si="119"/>
        <v>0</v>
      </c>
      <c r="M227" s="36">
        <f t="shared" si="119"/>
        <v>0</v>
      </c>
      <c r="N227" s="36">
        <f>M227</f>
        <v>0</v>
      </c>
      <c r="O227" s="36">
        <f t="shared" si="113"/>
        <v>0</v>
      </c>
      <c r="P227" s="36">
        <f t="shared" si="113"/>
        <v>0</v>
      </c>
      <c r="Q227" s="36">
        <f t="shared" si="113"/>
        <v>0</v>
      </c>
    </row>
    <row r="228" spans="1:17" x14ac:dyDescent="0.25">
      <c r="A228" s="15">
        <v>1110</v>
      </c>
      <c r="B228" s="7" t="s">
        <v>15</v>
      </c>
      <c r="D228" s="89">
        <v>52000</v>
      </c>
      <c r="E228"/>
      <c r="F228" s="36">
        <f t="shared" si="119"/>
        <v>0</v>
      </c>
      <c r="G228" s="36">
        <f t="shared" si="119"/>
        <v>0</v>
      </c>
      <c r="H228" s="36">
        <f t="shared" si="119"/>
        <v>0</v>
      </c>
      <c r="I228" s="36">
        <f t="shared" si="119"/>
        <v>0</v>
      </c>
      <c r="J228" s="36">
        <f t="shared" si="119"/>
        <v>0</v>
      </c>
      <c r="K228" s="36">
        <f t="shared" si="119"/>
        <v>0</v>
      </c>
      <c r="L228" s="36">
        <f t="shared" si="119"/>
        <v>0</v>
      </c>
      <c r="M228" s="36">
        <f t="shared" si="119"/>
        <v>0</v>
      </c>
      <c r="N228" s="36">
        <f>M228</f>
        <v>0</v>
      </c>
      <c r="O228" s="36">
        <f t="shared" si="113"/>
        <v>0</v>
      </c>
      <c r="P228" s="36">
        <f t="shared" si="113"/>
        <v>0</v>
      </c>
      <c r="Q228" s="36">
        <f t="shared" si="113"/>
        <v>0</v>
      </c>
    </row>
    <row r="229" spans="1:17" x14ac:dyDescent="0.25">
      <c r="A229" s="15">
        <v>1110</v>
      </c>
      <c r="B229" s="7" t="s">
        <v>15</v>
      </c>
      <c r="D229" s="89">
        <v>52000</v>
      </c>
      <c r="E229"/>
      <c r="F229" s="36">
        <f t="shared" si="119"/>
        <v>0</v>
      </c>
      <c r="G229" s="36">
        <f t="shared" si="119"/>
        <v>0</v>
      </c>
      <c r="H229" s="36">
        <f t="shared" si="119"/>
        <v>0</v>
      </c>
      <c r="I229" s="36">
        <f t="shared" si="119"/>
        <v>0</v>
      </c>
      <c r="J229" s="36">
        <f t="shared" si="119"/>
        <v>0</v>
      </c>
      <c r="K229" s="36">
        <f t="shared" si="119"/>
        <v>0</v>
      </c>
      <c r="L229" s="36">
        <f t="shared" si="119"/>
        <v>0</v>
      </c>
      <c r="M229" s="36">
        <v>0</v>
      </c>
      <c r="N229" s="36">
        <f>M229</f>
        <v>0</v>
      </c>
      <c r="O229" s="36">
        <f t="shared" si="113"/>
        <v>0</v>
      </c>
      <c r="P229" s="36">
        <f t="shared" si="113"/>
        <v>0</v>
      </c>
      <c r="Q229" s="36">
        <f t="shared" si="113"/>
        <v>0</v>
      </c>
    </row>
    <row r="230" spans="1:17" x14ac:dyDescent="0.25">
      <c r="A230" s="15">
        <v>1110</v>
      </c>
      <c r="B230" s="7" t="s">
        <v>15</v>
      </c>
      <c r="D230" s="89">
        <v>52000</v>
      </c>
      <c r="E230"/>
      <c r="F230" s="36">
        <f t="shared" si="119"/>
        <v>0</v>
      </c>
      <c r="G230" s="36">
        <f t="shared" si="119"/>
        <v>0</v>
      </c>
      <c r="H230" s="36">
        <f t="shared" si="119"/>
        <v>0</v>
      </c>
      <c r="I230" s="36">
        <f t="shared" si="119"/>
        <v>0</v>
      </c>
      <c r="J230" s="36">
        <f t="shared" si="119"/>
        <v>0</v>
      </c>
      <c r="K230" s="36">
        <f t="shared" si="119"/>
        <v>0</v>
      </c>
      <c r="L230" s="36">
        <f t="shared" si="119"/>
        <v>0</v>
      </c>
      <c r="M230" s="36">
        <v>0</v>
      </c>
      <c r="N230" s="36">
        <f>M230</f>
        <v>0</v>
      </c>
      <c r="O230" s="36">
        <f t="shared" si="113"/>
        <v>0</v>
      </c>
      <c r="P230" s="36">
        <f t="shared" si="113"/>
        <v>0</v>
      </c>
      <c r="Q230" s="36">
        <f t="shared" si="113"/>
        <v>0</v>
      </c>
    </row>
    <row r="231" spans="1:17" x14ac:dyDescent="0.25">
      <c r="A231" s="15">
        <v>1110</v>
      </c>
      <c r="B231" s="7" t="s">
        <v>15</v>
      </c>
      <c r="D231" s="89">
        <v>52000</v>
      </c>
      <c r="E231"/>
      <c r="F231" s="36">
        <f t="shared" si="119"/>
        <v>0</v>
      </c>
      <c r="G231" s="36">
        <f t="shared" si="119"/>
        <v>0</v>
      </c>
      <c r="H231" s="36">
        <f t="shared" si="119"/>
        <v>0</v>
      </c>
      <c r="I231" s="36">
        <f t="shared" si="119"/>
        <v>0</v>
      </c>
      <c r="J231" s="36">
        <f t="shared" si="119"/>
        <v>0</v>
      </c>
      <c r="K231" s="36">
        <f t="shared" si="119"/>
        <v>0</v>
      </c>
      <c r="L231" s="36">
        <v>0</v>
      </c>
      <c r="M231" s="36">
        <v>0</v>
      </c>
      <c r="N231" s="36">
        <f>M231</f>
        <v>0</v>
      </c>
      <c r="O231" s="36">
        <f t="shared" si="113"/>
        <v>0</v>
      </c>
      <c r="P231" s="36">
        <f t="shared" si="113"/>
        <v>0</v>
      </c>
      <c r="Q231" s="36">
        <f t="shared" si="113"/>
        <v>0</v>
      </c>
    </row>
    <row r="232" spans="1:17" x14ac:dyDescent="0.25">
      <c r="A232" s="15">
        <v>1110</v>
      </c>
      <c r="B232" s="7" t="s">
        <v>16</v>
      </c>
      <c r="D232" s="89">
        <v>52000</v>
      </c>
      <c r="E232"/>
      <c r="F232" s="36">
        <f t="shared" ref="F232:N236" si="120">IF(SUM(F$160)&gt;1,1,0)</f>
        <v>0</v>
      </c>
      <c r="G232" s="36">
        <f t="shared" si="120"/>
        <v>0</v>
      </c>
      <c r="H232" s="36">
        <f t="shared" si="120"/>
        <v>0</v>
      </c>
      <c r="I232" s="36">
        <f t="shared" si="120"/>
        <v>0</v>
      </c>
      <c r="J232" s="36">
        <f t="shared" si="120"/>
        <v>0</v>
      </c>
      <c r="K232" s="36">
        <f t="shared" si="120"/>
        <v>0</v>
      </c>
      <c r="L232" s="36">
        <f t="shared" si="120"/>
        <v>0</v>
      </c>
      <c r="M232" s="36">
        <f t="shared" si="120"/>
        <v>0</v>
      </c>
      <c r="N232" s="36">
        <f t="shared" si="120"/>
        <v>0</v>
      </c>
      <c r="O232" s="36">
        <f t="shared" si="113"/>
        <v>0</v>
      </c>
      <c r="P232" s="36">
        <f t="shared" si="113"/>
        <v>0</v>
      </c>
      <c r="Q232" s="36">
        <f t="shared" si="113"/>
        <v>0</v>
      </c>
    </row>
    <row r="233" spans="1:17" x14ac:dyDescent="0.25">
      <c r="A233" s="15">
        <v>1110</v>
      </c>
      <c r="B233" s="7" t="s">
        <v>16</v>
      </c>
      <c r="D233" s="89">
        <v>52000</v>
      </c>
      <c r="E233"/>
      <c r="F233" s="36">
        <f t="shared" si="120"/>
        <v>0</v>
      </c>
      <c r="G233" s="36">
        <f t="shared" si="120"/>
        <v>0</v>
      </c>
      <c r="H233" s="36">
        <f t="shared" si="120"/>
        <v>0</v>
      </c>
      <c r="I233" s="36">
        <f t="shared" si="120"/>
        <v>0</v>
      </c>
      <c r="J233" s="36">
        <f t="shared" si="120"/>
        <v>0</v>
      </c>
      <c r="K233" s="36">
        <f t="shared" si="120"/>
        <v>0</v>
      </c>
      <c r="L233" s="36">
        <f t="shared" si="120"/>
        <v>0</v>
      </c>
      <c r="M233" s="36">
        <f t="shared" si="120"/>
        <v>0</v>
      </c>
      <c r="N233" s="36">
        <f t="shared" si="120"/>
        <v>0</v>
      </c>
      <c r="O233" s="36">
        <f t="shared" si="113"/>
        <v>0</v>
      </c>
      <c r="P233" s="36">
        <f t="shared" si="113"/>
        <v>0</v>
      </c>
      <c r="Q233" s="36">
        <f t="shared" si="113"/>
        <v>0</v>
      </c>
    </row>
    <row r="234" spans="1:17" x14ac:dyDescent="0.25">
      <c r="A234" s="15">
        <v>1110</v>
      </c>
      <c r="B234" s="7" t="s">
        <v>16</v>
      </c>
      <c r="D234" s="89">
        <v>52000</v>
      </c>
      <c r="E234"/>
      <c r="F234" s="36">
        <f t="shared" si="120"/>
        <v>0</v>
      </c>
      <c r="G234" s="36">
        <f t="shared" si="120"/>
        <v>0</v>
      </c>
      <c r="H234" s="36">
        <f t="shared" si="120"/>
        <v>0</v>
      </c>
      <c r="I234" s="36">
        <f t="shared" si="120"/>
        <v>0</v>
      </c>
      <c r="J234" s="36">
        <f t="shared" si="120"/>
        <v>0</v>
      </c>
      <c r="K234" s="36">
        <f t="shared" si="120"/>
        <v>0</v>
      </c>
      <c r="L234" s="36">
        <f t="shared" si="120"/>
        <v>0</v>
      </c>
      <c r="M234" s="36">
        <f t="shared" si="120"/>
        <v>0</v>
      </c>
      <c r="N234" s="36">
        <v>0</v>
      </c>
      <c r="O234" s="36">
        <f t="shared" si="113"/>
        <v>0</v>
      </c>
      <c r="P234" s="36">
        <f t="shared" si="113"/>
        <v>0</v>
      </c>
      <c r="Q234" s="36">
        <f t="shared" si="113"/>
        <v>0</v>
      </c>
    </row>
    <row r="235" spans="1:17" x14ac:dyDescent="0.25">
      <c r="A235" s="15">
        <v>1110</v>
      </c>
      <c r="B235" s="7" t="s">
        <v>16</v>
      </c>
      <c r="D235" s="89">
        <v>52000</v>
      </c>
      <c r="E235"/>
      <c r="F235" s="36">
        <f t="shared" si="120"/>
        <v>0</v>
      </c>
      <c r="G235" s="36">
        <f t="shared" si="120"/>
        <v>0</v>
      </c>
      <c r="H235" s="36">
        <f t="shared" si="120"/>
        <v>0</v>
      </c>
      <c r="I235" s="36">
        <f t="shared" si="120"/>
        <v>0</v>
      </c>
      <c r="J235" s="36">
        <f t="shared" si="120"/>
        <v>0</v>
      </c>
      <c r="K235" s="36">
        <f t="shared" si="120"/>
        <v>0</v>
      </c>
      <c r="L235" s="36">
        <f t="shared" si="120"/>
        <v>0</v>
      </c>
      <c r="M235" s="36">
        <f t="shared" si="120"/>
        <v>0</v>
      </c>
      <c r="N235" s="36">
        <v>0</v>
      </c>
      <c r="O235" s="36">
        <f t="shared" si="113"/>
        <v>0</v>
      </c>
      <c r="P235" s="36">
        <f t="shared" si="113"/>
        <v>0</v>
      </c>
      <c r="Q235" s="36">
        <f t="shared" si="113"/>
        <v>0</v>
      </c>
    </row>
    <row r="236" spans="1:17" x14ac:dyDescent="0.25">
      <c r="A236" s="15">
        <v>1110</v>
      </c>
      <c r="B236" s="7" t="s">
        <v>16</v>
      </c>
      <c r="D236" s="89">
        <v>52000</v>
      </c>
      <c r="E236"/>
      <c r="F236" s="36">
        <f t="shared" si="120"/>
        <v>0</v>
      </c>
      <c r="G236" s="36">
        <f t="shared" si="120"/>
        <v>0</v>
      </c>
      <c r="H236" s="36">
        <f t="shared" si="120"/>
        <v>0</v>
      </c>
      <c r="I236" s="36">
        <f t="shared" si="120"/>
        <v>0</v>
      </c>
      <c r="J236" s="36">
        <f t="shared" si="120"/>
        <v>0</v>
      </c>
      <c r="K236" s="36">
        <f t="shared" si="120"/>
        <v>0</v>
      </c>
      <c r="L236" s="36">
        <f t="shared" si="120"/>
        <v>0</v>
      </c>
      <c r="M236" s="36">
        <f t="shared" si="120"/>
        <v>0</v>
      </c>
      <c r="N236" s="36">
        <v>0</v>
      </c>
      <c r="O236" s="36">
        <f t="shared" si="113"/>
        <v>0</v>
      </c>
      <c r="P236" s="36">
        <f t="shared" si="113"/>
        <v>0</v>
      </c>
      <c r="Q236" s="36">
        <f t="shared" si="113"/>
        <v>0</v>
      </c>
    </row>
    <row r="237" spans="1:17" x14ac:dyDescent="0.25">
      <c r="A237" s="15">
        <v>2100</v>
      </c>
      <c r="B237" s="7" t="s">
        <v>227</v>
      </c>
      <c r="D237" s="89">
        <v>52000</v>
      </c>
      <c r="E237"/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</row>
    <row r="238" spans="1:17" x14ac:dyDescent="0.25">
      <c r="A238" s="15">
        <v>2100</v>
      </c>
      <c r="B238" s="7" t="s">
        <v>227</v>
      </c>
      <c r="D238" s="89">
        <v>52000</v>
      </c>
      <c r="E238"/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36">
        <v>0</v>
      </c>
      <c r="N238" s="83">
        <v>0</v>
      </c>
      <c r="O238" s="36">
        <v>0</v>
      </c>
      <c r="P238" s="36">
        <v>0</v>
      </c>
      <c r="Q238" s="36">
        <v>0</v>
      </c>
    </row>
    <row r="239" spans="1:17" x14ac:dyDescent="0.25">
      <c r="A239" s="15">
        <v>2100</v>
      </c>
      <c r="B239" s="7" t="s">
        <v>227</v>
      </c>
      <c r="D239" s="89">
        <v>52000</v>
      </c>
      <c r="E239"/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36">
        <v>0</v>
      </c>
      <c r="N239" s="83">
        <v>0</v>
      </c>
      <c r="O239" s="36">
        <v>0</v>
      </c>
      <c r="P239" s="36">
        <v>0</v>
      </c>
      <c r="Q239" s="36">
        <v>0</v>
      </c>
    </row>
    <row r="240" spans="1:17" x14ac:dyDescent="0.25">
      <c r="A240" s="37">
        <v>1110</v>
      </c>
      <c r="B240" s="13" t="s">
        <v>67</v>
      </c>
      <c r="D240" s="89">
        <v>52000</v>
      </c>
      <c r="E240"/>
      <c r="F240" s="83">
        <v>0</v>
      </c>
      <c r="G240" s="83">
        <v>0</v>
      </c>
      <c r="H240" s="83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 s="36">
        <v>0</v>
      </c>
      <c r="Q240" s="36">
        <v>0</v>
      </c>
    </row>
    <row r="241" spans="1:17" x14ac:dyDescent="0.25">
      <c r="A241" s="37">
        <v>1110</v>
      </c>
      <c r="B241" s="13" t="s">
        <v>67</v>
      </c>
      <c r="D241" s="89">
        <v>52000</v>
      </c>
      <c r="E241"/>
      <c r="F241" s="83">
        <v>0</v>
      </c>
      <c r="G241" s="83">
        <v>0</v>
      </c>
      <c r="H241" s="83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 s="36">
        <v>0</v>
      </c>
      <c r="Q241" s="36">
        <v>0</v>
      </c>
    </row>
    <row r="242" spans="1:17" x14ac:dyDescent="0.25">
      <c r="A242" s="37">
        <v>1110</v>
      </c>
      <c r="B242" s="13" t="s">
        <v>67</v>
      </c>
      <c r="D242" s="89">
        <v>52000</v>
      </c>
      <c r="E242"/>
      <c r="F242" s="83">
        <v>0</v>
      </c>
      <c r="G242" s="83">
        <v>0</v>
      </c>
      <c r="H242" s="83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 s="36">
        <v>0</v>
      </c>
      <c r="Q242" s="36">
        <v>0</v>
      </c>
    </row>
    <row r="243" spans="1:17" x14ac:dyDescent="0.25">
      <c r="A243" s="37">
        <v>1110</v>
      </c>
      <c r="B243" s="13" t="s">
        <v>67</v>
      </c>
      <c r="D243" s="89">
        <v>52000</v>
      </c>
      <c r="E243"/>
      <c r="F243" s="83">
        <v>0</v>
      </c>
      <c r="G243" s="83">
        <v>0</v>
      </c>
      <c r="H243" s="8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 s="36">
        <v>0</v>
      </c>
      <c r="Q243" s="36">
        <v>0</v>
      </c>
    </row>
    <row r="244" spans="1:17" x14ac:dyDescent="0.25">
      <c r="A244" s="37">
        <v>1110</v>
      </c>
      <c r="B244" s="13" t="s">
        <v>67</v>
      </c>
      <c r="D244" s="89">
        <v>52000</v>
      </c>
      <c r="E244"/>
      <c r="F244" s="83">
        <v>0</v>
      </c>
      <c r="G244" s="83">
        <v>0</v>
      </c>
      <c r="H244" s="83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 s="36">
        <v>0</v>
      </c>
      <c r="Q244" s="36">
        <v>0</v>
      </c>
    </row>
    <row r="245" spans="1:17" x14ac:dyDescent="0.25">
      <c r="A245" s="37">
        <v>1110</v>
      </c>
      <c r="B245" s="14" t="s">
        <v>68</v>
      </c>
      <c r="D245" s="89">
        <v>52000</v>
      </c>
      <c r="E245"/>
      <c r="F245" s="83">
        <v>0</v>
      </c>
      <c r="G245" s="83">
        <v>0</v>
      </c>
      <c r="H245" s="83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 s="36">
        <v>0</v>
      </c>
      <c r="Q245" s="36">
        <v>0</v>
      </c>
    </row>
    <row r="246" spans="1:17" x14ac:dyDescent="0.25">
      <c r="A246" s="37">
        <v>1110</v>
      </c>
      <c r="B246" s="14" t="s">
        <v>68</v>
      </c>
      <c r="D246" s="89">
        <v>52000</v>
      </c>
      <c r="E246"/>
      <c r="F246" s="83">
        <v>0</v>
      </c>
      <c r="G246" s="83">
        <v>0</v>
      </c>
      <c r="H246" s="83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 s="36">
        <v>0</v>
      </c>
      <c r="Q246" s="36">
        <v>0</v>
      </c>
    </row>
    <row r="247" spans="1:17" x14ac:dyDescent="0.25">
      <c r="A247" s="37">
        <v>1110</v>
      </c>
      <c r="B247" s="14" t="s">
        <v>68</v>
      </c>
      <c r="D247" s="89">
        <v>52000</v>
      </c>
      <c r="E247"/>
      <c r="F247" s="83">
        <v>0</v>
      </c>
      <c r="G247" s="83">
        <v>0</v>
      </c>
      <c r="H247" s="83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 s="36">
        <v>0</v>
      </c>
      <c r="Q247" s="36">
        <v>0</v>
      </c>
    </row>
    <row r="248" spans="1:17" x14ac:dyDescent="0.25">
      <c r="A248" s="37">
        <v>1110</v>
      </c>
      <c r="B248" s="14" t="s">
        <v>68</v>
      </c>
      <c r="D248" s="89">
        <v>52000</v>
      </c>
      <c r="E248"/>
      <c r="F248" s="83">
        <v>0</v>
      </c>
      <c r="G248" s="83">
        <v>0</v>
      </c>
      <c r="H248" s="83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 s="36">
        <v>0</v>
      </c>
      <c r="Q248" s="36">
        <v>0</v>
      </c>
    </row>
    <row r="249" spans="1:17" x14ac:dyDescent="0.25">
      <c r="A249" s="37">
        <v>1110</v>
      </c>
      <c r="B249" s="7" t="s">
        <v>69</v>
      </c>
      <c r="D249" s="89">
        <v>52000</v>
      </c>
      <c r="E249"/>
      <c r="F249" s="83">
        <v>0</v>
      </c>
      <c r="G249" s="83">
        <v>0</v>
      </c>
      <c r="H249" s="83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 s="36">
        <v>0</v>
      </c>
      <c r="Q249" s="36">
        <v>0</v>
      </c>
    </row>
    <row r="250" spans="1:17" x14ac:dyDescent="0.25">
      <c r="A250" s="37">
        <v>1110</v>
      </c>
      <c r="B250" s="7" t="s">
        <v>69</v>
      </c>
      <c r="D250" s="89">
        <v>52000</v>
      </c>
      <c r="E250"/>
      <c r="F250" s="83">
        <v>0</v>
      </c>
      <c r="G250" s="83">
        <v>0</v>
      </c>
      <c r="H250" s="83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 s="36">
        <v>0</v>
      </c>
      <c r="Q250" s="36">
        <v>0</v>
      </c>
    </row>
    <row r="251" spans="1:17" x14ac:dyDescent="0.25">
      <c r="A251" s="37">
        <v>1110</v>
      </c>
      <c r="B251" s="7" t="s">
        <v>69</v>
      </c>
      <c r="D251" s="89">
        <v>52000</v>
      </c>
      <c r="E251"/>
      <c r="F251" s="83">
        <v>0</v>
      </c>
      <c r="G251" s="83">
        <v>0</v>
      </c>
      <c r="H251" s="83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 s="36">
        <v>0</v>
      </c>
      <c r="Q251" s="36">
        <v>0</v>
      </c>
    </row>
    <row r="252" spans="1:17" x14ac:dyDescent="0.25">
      <c r="A252" s="37">
        <v>1110</v>
      </c>
      <c r="B252" s="7" t="s">
        <v>69</v>
      </c>
      <c r="D252" s="89">
        <v>52000</v>
      </c>
      <c r="E252"/>
      <c r="F252" s="83">
        <v>0</v>
      </c>
      <c r="G252" s="83">
        <v>0</v>
      </c>
      <c r="H252" s="83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 s="36">
        <v>0</v>
      </c>
      <c r="Q252" s="36">
        <v>0</v>
      </c>
    </row>
    <row r="253" spans="1:17" x14ac:dyDescent="0.25">
      <c r="A253" s="37">
        <v>1110</v>
      </c>
      <c r="B253" s="7" t="s">
        <v>69</v>
      </c>
      <c r="D253" s="89">
        <v>52000</v>
      </c>
      <c r="E253"/>
      <c r="F253" s="83">
        <v>0</v>
      </c>
      <c r="G253" s="83">
        <v>0</v>
      </c>
      <c r="H253" s="8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 s="36">
        <v>0</v>
      </c>
      <c r="Q253" s="36">
        <v>0</v>
      </c>
    </row>
    <row r="254" spans="1:17" x14ac:dyDescent="0.25">
      <c r="A254" s="37">
        <v>1110</v>
      </c>
      <c r="B254" s="7" t="s">
        <v>70</v>
      </c>
      <c r="D254" s="89">
        <v>52000</v>
      </c>
      <c r="E254"/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  <c r="Q254" s="83">
        <v>0</v>
      </c>
    </row>
    <row r="255" spans="1:17" x14ac:dyDescent="0.25">
      <c r="A255" s="37">
        <v>1110</v>
      </c>
      <c r="B255" s="7" t="s">
        <v>70</v>
      </c>
      <c r="D255" s="89">
        <v>52000</v>
      </c>
      <c r="E255"/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  <c r="Q255" s="83">
        <v>0</v>
      </c>
    </row>
    <row r="256" spans="1:17" x14ac:dyDescent="0.25">
      <c r="A256" s="37">
        <v>1110</v>
      </c>
      <c r="B256" s="7" t="s">
        <v>70</v>
      </c>
      <c r="D256" s="89">
        <v>52000</v>
      </c>
      <c r="E256"/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</row>
    <row r="257" spans="1:17" x14ac:dyDescent="0.25">
      <c r="A257" s="37">
        <v>1110</v>
      </c>
      <c r="B257" s="7" t="s">
        <v>70</v>
      </c>
      <c r="D257" s="89">
        <v>52000</v>
      </c>
      <c r="E257"/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</row>
    <row r="258" spans="1:17" x14ac:dyDescent="0.25">
      <c r="A258" s="37">
        <v>1110</v>
      </c>
      <c r="B258" s="7" t="s">
        <v>70</v>
      </c>
      <c r="D258" s="89">
        <v>52000</v>
      </c>
      <c r="E258"/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  <c r="Q258" s="83">
        <v>0</v>
      </c>
    </row>
    <row r="259" spans="1:17" x14ac:dyDescent="0.25">
      <c r="A259" s="113">
        <v>2100</v>
      </c>
      <c r="B259" s="7" t="s">
        <v>228</v>
      </c>
      <c r="D259" s="89">
        <v>52000</v>
      </c>
      <c r="E259"/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</row>
    <row r="260" spans="1:17" x14ac:dyDescent="0.25">
      <c r="A260" s="113">
        <v>2100</v>
      </c>
      <c r="B260" s="7" t="s">
        <v>228</v>
      </c>
      <c r="D260" s="89">
        <v>52000</v>
      </c>
      <c r="E260"/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  <c r="Q260" s="83">
        <v>0</v>
      </c>
    </row>
    <row r="261" spans="1:17" x14ac:dyDescent="0.25">
      <c r="A261" s="37">
        <v>2200</v>
      </c>
      <c r="B261" s="7" t="s">
        <v>27</v>
      </c>
      <c r="D261" s="89">
        <f>6.5*182*10</f>
        <v>11830</v>
      </c>
      <c r="E261"/>
      <c r="F261" s="83">
        <v>0</v>
      </c>
      <c r="G261" s="83">
        <v>0</v>
      </c>
      <c r="H261" s="83">
        <v>0</v>
      </c>
      <c r="I261">
        <v>0</v>
      </c>
      <c r="J261">
        <v>0</v>
      </c>
      <c r="K261">
        <v>1</v>
      </c>
      <c r="L261">
        <v>1</v>
      </c>
      <c r="M261">
        <v>1</v>
      </c>
      <c r="N261">
        <v>1</v>
      </c>
      <c r="O261">
        <v>1</v>
      </c>
      <c r="P261" s="36">
        <f t="shared" ref="P261:Q263" si="121">O261</f>
        <v>1</v>
      </c>
      <c r="Q261" s="36">
        <f t="shared" si="121"/>
        <v>1</v>
      </c>
    </row>
    <row r="262" spans="1:17" x14ac:dyDescent="0.25">
      <c r="A262" s="37">
        <v>2200</v>
      </c>
      <c r="B262" s="7" t="s">
        <v>27</v>
      </c>
      <c r="D262" s="89">
        <f t="shared" ref="D262:D272" si="122">6.5*182*10</f>
        <v>11830</v>
      </c>
      <c r="E262"/>
      <c r="F262" s="83">
        <v>0</v>
      </c>
      <c r="G262" s="83">
        <v>0</v>
      </c>
      <c r="H262" s="83">
        <v>0</v>
      </c>
      <c r="I262">
        <v>0</v>
      </c>
      <c r="J262">
        <v>0</v>
      </c>
      <c r="K262">
        <v>0</v>
      </c>
      <c r="L262">
        <v>0.5</v>
      </c>
      <c r="M262">
        <v>1</v>
      </c>
      <c r="N262">
        <v>1</v>
      </c>
      <c r="O262">
        <v>1</v>
      </c>
      <c r="P262" s="36">
        <f t="shared" si="121"/>
        <v>1</v>
      </c>
      <c r="Q262" s="36">
        <f t="shared" si="121"/>
        <v>1</v>
      </c>
    </row>
    <row r="263" spans="1:17" x14ac:dyDescent="0.25">
      <c r="A263" s="37">
        <v>2200</v>
      </c>
      <c r="B263" s="7" t="s">
        <v>27</v>
      </c>
      <c r="D263" s="89">
        <f t="shared" si="122"/>
        <v>11830</v>
      </c>
      <c r="E263"/>
      <c r="F263" s="83">
        <v>0</v>
      </c>
      <c r="G263" s="83">
        <v>0</v>
      </c>
      <c r="H263" s="83">
        <v>0</v>
      </c>
      <c r="I263">
        <v>0</v>
      </c>
      <c r="J263" s="44">
        <v>0</v>
      </c>
      <c r="K263">
        <v>0</v>
      </c>
      <c r="L263">
        <v>0</v>
      </c>
      <c r="M263">
        <v>0.5</v>
      </c>
      <c r="N263">
        <v>1</v>
      </c>
      <c r="O263">
        <v>1</v>
      </c>
      <c r="P263" s="36">
        <f t="shared" si="121"/>
        <v>1</v>
      </c>
      <c r="Q263" s="36">
        <f t="shared" si="121"/>
        <v>1</v>
      </c>
    </row>
    <row r="264" spans="1:17" x14ac:dyDescent="0.25">
      <c r="A264" s="37">
        <v>2200</v>
      </c>
      <c r="B264" s="7" t="s">
        <v>27</v>
      </c>
      <c r="D264" s="89">
        <f t="shared" si="122"/>
        <v>11830</v>
      </c>
      <c r="E264"/>
      <c r="F264" s="83">
        <v>0</v>
      </c>
      <c r="G264" s="83">
        <v>0</v>
      </c>
      <c r="H264" s="83">
        <v>0</v>
      </c>
      <c r="I264">
        <v>0</v>
      </c>
      <c r="J264">
        <v>0</v>
      </c>
      <c r="K264">
        <v>0</v>
      </c>
      <c r="L264" s="44">
        <v>0</v>
      </c>
      <c r="M264">
        <v>0</v>
      </c>
      <c r="N264">
        <v>0</v>
      </c>
      <c r="O264">
        <v>0</v>
      </c>
      <c r="P264" s="36">
        <v>0</v>
      </c>
      <c r="Q264" s="36">
        <v>0</v>
      </c>
    </row>
    <row r="265" spans="1:17" x14ac:dyDescent="0.25">
      <c r="A265" s="37">
        <v>2200</v>
      </c>
      <c r="B265" s="7" t="s">
        <v>27</v>
      </c>
      <c r="D265" s="89">
        <f t="shared" si="122"/>
        <v>11830</v>
      </c>
      <c r="E265"/>
      <c r="F265" s="83">
        <v>0</v>
      </c>
      <c r="G265" s="83">
        <v>0</v>
      </c>
      <c r="H265" s="83">
        <v>0</v>
      </c>
      <c r="I265">
        <v>0</v>
      </c>
      <c r="J265">
        <v>0</v>
      </c>
      <c r="K265" s="83">
        <v>0</v>
      </c>
      <c r="L265" s="44">
        <v>0</v>
      </c>
      <c r="M265">
        <v>0</v>
      </c>
      <c r="N265">
        <v>0</v>
      </c>
      <c r="O265">
        <v>0</v>
      </c>
      <c r="P265" s="36">
        <v>0</v>
      </c>
      <c r="Q265" s="36">
        <v>0</v>
      </c>
    </row>
    <row r="266" spans="1:17" x14ac:dyDescent="0.25">
      <c r="A266" s="37">
        <v>2200</v>
      </c>
      <c r="B266" s="7" t="s">
        <v>27</v>
      </c>
      <c r="D266" s="89">
        <f t="shared" si="122"/>
        <v>11830</v>
      </c>
      <c r="E266"/>
      <c r="F266" s="83">
        <v>0</v>
      </c>
      <c r="G266" s="83">
        <v>0</v>
      </c>
      <c r="H266" s="83">
        <v>0</v>
      </c>
      <c r="I266">
        <v>0</v>
      </c>
      <c r="J266">
        <v>0</v>
      </c>
      <c r="K266">
        <v>0</v>
      </c>
      <c r="L266" s="44">
        <v>0</v>
      </c>
      <c r="M266">
        <v>0</v>
      </c>
      <c r="N266">
        <v>0</v>
      </c>
      <c r="O266">
        <v>0</v>
      </c>
      <c r="P266" s="36">
        <v>0</v>
      </c>
      <c r="Q266" s="36">
        <v>0</v>
      </c>
    </row>
    <row r="267" spans="1:17" x14ac:dyDescent="0.25">
      <c r="A267" s="37">
        <v>2200</v>
      </c>
      <c r="B267" s="7" t="s">
        <v>27</v>
      </c>
      <c r="D267" s="89">
        <f t="shared" si="122"/>
        <v>11830</v>
      </c>
      <c r="E267"/>
      <c r="F267" s="83">
        <v>0</v>
      </c>
      <c r="G267" s="83">
        <v>0</v>
      </c>
      <c r="H267" s="83">
        <v>0</v>
      </c>
      <c r="I267">
        <v>0</v>
      </c>
      <c r="J267">
        <v>0</v>
      </c>
      <c r="K267">
        <v>0</v>
      </c>
      <c r="L267" s="44">
        <v>0</v>
      </c>
      <c r="M267">
        <v>0</v>
      </c>
      <c r="N267">
        <v>0</v>
      </c>
      <c r="O267">
        <v>0</v>
      </c>
      <c r="P267" s="36">
        <v>0</v>
      </c>
      <c r="Q267" s="36">
        <v>0</v>
      </c>
    </row>
    <row r="268" spans="1:17" s="37" customFormat="1" x14ac:dyDescent="0.25">
      <c r="A268" s="37">
        <v>2200</v>
      </c>
      <c r="B268" s="7" t="s">
        <v>87</v>
      </c>
      <c r="D268" s="89">
        <f t="shared" si="122"/>
        <v>11830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1</v>
      </c>
      <c r="L268" s="36">
        <v>1</v>
      </c>
      <c r="M268" s="36">
        <v>1</v>
      </c>
      <c r="N268" s="36">
        <v>1</v>
      </c>
      <c r="O268" s="36">
        <v>1</v>
      </c>
      <c r="P268" s="36">
        <v>1</v>
      </c>
      <c r="Q268" s="36">
        <v>1</v>
      </c>
    </row>
    <row r="269" spans="1:17" x14ac:dyDescent="0.25">
      <c r="A269" s="37">
        <v>2200</v>
      </c>
      <c r="B269" s="7" t="s">
        <v>87</v>
      </c>
      <c r="D269" s="89">
        <f t="shared" si="122"/>
        <v>11830</v>
      </c>
      <c r="E269"/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0.5</v>
      </c>
      <c r="N269" s="36">
        <v>1</v>
      </c>
      <c r="O269" s="36">
        <v>1</v>
      </c>
      <c r="P269" s="36">
        <v>1</v>
      </c>
      <c r="Q269" s="36">
        <v>1</v>
      </c>
    </row>
    <row r="270" spans="1:17" x14ac:dyDescent="0.25">
      <c r="A270" s="37">
        <v>2200</v>
      </c>
      <c r="B270" s="7" t="s">
        <v>87</v>
      </c>
      <c r="D270" s="89">
        <f t="shared" si="122"/>
        <v>11830</v>
      </c>
      <c r="E270"/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</row>
    <row r="271" spans="1:17" x14ac:dyDescent="0.25">
      <c r="A271" s="37">
        <v>2200</v>
      </c>
      <c r="B271" s="7" t="s">
        <v>87</v>
      </c>
      <c r="D271" s="89">
        <f t="shared" si="122"/>
        <v>11830</v>
      </c>
      <c r="E271"/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</row>
    <row r="272" spans="1:17" x14ac:dyDescent="0.25">
      <c r="A272" s="37">
        <v>2200</v>
      </c>
      <c r="B272" s="7" t="s">
        <v>87</v>
      </c>
      <c r="D272" s="89">
        <f t="shared" si="122"/>
        <v>11830</v>
      </c>
      <c r="E272"/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</row>
    <row r="273" spans="1:17" x14ac:dyDescent="0.25">
      <c r="A273" s="37">
        <v>1110</v>
      </c>
      <c r="B273" s="7" t="s">
        <v>159</v>
      </c>
      <c r="D273" s="89">
        <v>52000</v>
      </c>
      <c r="E273"/>
      <c r="F273" s="36" t="e">
        <f t="shared" ref="F273:Q273" si="123">IF(F$165&gt;1,1,0)</f>
        <v>#REF!</v>
      </c>
      <c r="G273" s="36" t="e">
        <f t="shared" si="123"/>
        <v>#REF!</v>
      </c>
      <c r="H273" s="36" t="e">
        <f t="shared" si="123"/>
        <v>#REF!</v>
      </c>
      <c r="I273" s="36" t="e">
        <f t="shared" si="123"/>
        <v>#REF!</v>
      </c>
      <c r="J273" s="36" t="e">
        <f t="shared" si="123"/>
        <v>#REF!</v>
      </c>
      <c r="K273" s="36" t="e">
        <f t="shared" si="123"/>
        <v>#REF!</v>
      </c>
      <c r="L273" s="36" t="e">
        <f t="shared" si="123"/>
        <v>#REF!</v>
      </c>
      <c r="M273" s="36" t="e">
        <f t="shared" si="123"/>
        <v>#REF!</v>
      </c>
      <c r="N273" s="36" t="e">
        <f t="shared" si="123"/>
        <v>#REF!</v>
      </c>
      <c r="O273" s="36" t="e">
        <f t="shared" si="123"/>
        <v>#REF!</v>
      </c>
      <c r="P273" s="36" t="e">
        <f t="shared" si="123"/>
        <v>#REF!</v>
      </c>
      <c r="Q273" s="36" t="e">
        <f t="shared" si="123"/>
        <v>#REF!</v>
      </c>
    </row>
    <row r="274" spans="1:17" x14ac:dyDescent="0.25">
      <c r="A274" s="37">
        <v>1110</v>
      </c>
      <c r="B274" s="7" t="s">
        <v>161</v>
      </c>
      <c r="D274" s="89">
        <v>52000</v>
      </c>
      <c r="E274"/>
      <c r="F274" s="36" t="e">
        <f t="shared" ref="F274:Q274" si="124">IF(F$166&gt;1,1,0)</f>
        <v>#REF!</v>
      </c>
      <c r="G274" s="36" t="e">
        <f t="shared" si="124"/>
        <v>#REF!</v>
      </c>
      <c r="H274" s="36" t="e">
        <f t="shared" si="124"/>
        <v>#REF!</v>
      </c>
      <c r="I274" s="36" t="e">
        <f t="shared" si="124"/>
        <v>#REF!</v>
      </c>
      <c r="J274" s="36" t="e">
        <f t="shared" si="124"/>
        <v>#REF!</v>
      </c>
      <c r="K274" s="36" t="e">
        <f t="shared" si="124"/>
        <v>#REF!</v>
      </c>
      <c r="L274" s="36" t="e">
        <f t="shared" si="124"/>
        <v>#REF!</v>
      </c>
      <c r="M274" s="36" t="e">
        <f t="shared" si="124"/>
        <v>#REF!</v>
      </c>
      <c r="N274" s="36" t="e">
        <f t="shared" si="124"/>
        <v>#REF!</v>
      </c>
      <c r="O274" s="36" t="e">
        <f t="shared" si="124"/>
        <v>#REF!</v>
      </c>
      <c r="P274" s="36" t="e">
        <f t="shared" si="124"/>
        <v>#REF!</v>
      </c>
      <c r="Q274" s="36" t="e">
        <f t="shared" si="124"/>
        <v>#REF!</v>
      </c>
    </row>
    <row r="275" spans="1:17" x14ac:dyDescent="0.25">
      <c r="A275" s="37">
        <v>1110</v>
      </c>
      <c r="B275" s="7" t="s">
        <v>163</v>
      </c>
      <c r="D275" s="89">
        <v>52000</v>
      </c>
      <c r="E275"/>
      <c r="F275" s="36">
        <f t="shared" ref="F275:Q275" si="125">IF(F$167&gt;1,1,0)</f>
        <v>1</v>
      </c>
      <c r="G275" s="36">
        <f t="shared" si="125"/>
        <v>1</v>
      </c>
      <c r="H275" s="36">
        <f t="shared" si="125"/>
        <v>1</v>
      </c>
      <c r="I275" s="36">
        <f t="shared" si="125"/>
        <v>1</v>
      </c>
      <c r="J275" s="36">
        <f t="shared" si="125"/>
        <v>1</v>
      </c>
      <c r="K275" s="36">
        <f t="shared" si="125"/>
        <v>1</v>
      </c>
      <c r="L275" s="36">
        <f t="shared" si="125"/>
        <v>1</v>
      </c>
      <c r="M275" s="36">
        <f t="shared" si="125"/>
        <v>1</v>
      </c>
      <c r="N275" s="36">
        <f t="shared" si="125"/>
        <v>1</v>
      </c>
      <c r="O275" s="36">
        <f t="shared" si="125"/>
        <v>1</v>
      </c>
      <c r="P275" s="36">
        <f t="shared" si="125"/>
        <v>1</v>
      </c>
      <c r="Q275" s="36">
        <f t="shared" si="125"/>
        <v>1</v>
      </c>
    </row>
    <row r="276" spans="1:17" x14ac:dyDescent="0.25">
      <c r="A276" s="37">
        <v>1110</v>
      </c>
      <c r="B276" s="7" t="s">
        <v>165</v>
      </c>
      <c r="D276" s="89">
        <v>52000</v>
      </c>
      <c r="E276"/>
      <c r="F276" s="36">
        <f t="shared" ref="F276:Q276" si="126">IF(F$168&gt;1,1,0)</f>
        <v>1</v>
      </c>
      <c r="G276" s="36">
        <f t="shared" si="126"/>
        <v>1</v>
      </c>
      <c r="H276" s="36">
        <f t="shared" si="126"/>
        <v>1</v>
      </c>
      <c r="I276" s="36">
        <f t="shared" si="126"/>
        <v>1</v>
      </c>
      <c r="J276" s="36">
        <f t="shared" si="126"/>
        <v>1</v>
      </c>
      <c r="K276" s="36">
        <f t="shared" si="126"/>
        <v>1</v>
      </c>
      <c r="L276" s="36">
        <f t="shared" si="126"/>
        <v>1</v>
      </c>
      <c r="M276" s="36">
        <f t="shared" si="126"/>
        <v>1</v>
      </c>
      <c r="N276" s="36">
        <f t="shared" si="126"/>
        <v>1</v>
      </c>
      <c r="O276" s="36">
        <f t="shared" si="126"/>
        <v>1</v>
      </c>
      <c r="P276" s="36">
        <f t="shared" si="126"/>
        <v>1</v>
      </c>
      <c r="Q276" s="36">
        <f t="shared" si="126"/>
        <v>1</v>
      </c>
    </row>
    <row r="277" spans="1:17" x14ac:dyDescent="0.25">
      <c r="A277" s="37">
        <v>1110</v>
      </c>
      <c r="B277" s="7" t="s">
        <v>160</v>
      </c>
      <c r="D277" s="89">
        <v>52000</v>
      </c>
      <c r="E277"/>
      <c r="F277" s="36" t="e">
        <f t="shared" ref="F277:Q277" si="127">IF(F$165&gt;1,1,0)</f>
        <v>#REF!</v>
      </c>
      <c r="G277" s="36" t="e">
        <f t="shared" si="127"/>
        <v>#REF!</v>
      </c>
      <c r="H277" s="36" t="e">
        <f t="shared" si="127"/>
        <v>#REF!</v>
      </c>
      <c r="I277" s="36" t="e">
        <f t="shared" si="127"/>
        <v>#REF!</v>
      </c>
      <c r="J277" s="36" t="e">
        <f t="shared" si="127"/>
        <v>#REF!</v>
      </c>
      <c r="K277" s="36" t="e">
        <f t="shared" si="127"/>
        <v>#REF!</v>
      </c>
      <c r="L277" s="36" t="e">
        <f t="shared" si="127"/>
        <v>#REF!</v>
      </c>
      <c r="M277" s="36" t="e">
        <f t="shared" si="127"/>
        <v>#REF!</v>
      </c>
      <c r="N277" s="36" t="e">
        <f t="shared" si="127"/>
        <v>#REF!</v>
      </c>
      <c r="O277" s="36" t="e">
        <f t="shared" si="127"/>
        <v>#REF!</v>
      </c>
      <c r="P277" s="36" t="e">
        <f t="shared" si="127"/>
        <v>#REF!</v>
      </c>
      <c r="Q277" s="36" t="e">
        <f t="shared" si="127"/>
        <v>#REF!</v>
      </c>
    </row>
    <row r="278" spans="1:17" x14ac:dyDescent="0.25">
      <c r="A278" s="37">
        <v>1110</v>
      </c>
      <c r="B278" s="7" t="s">
        <v>162</v>
      </c>
      <c r="D278" s="89">
        <v>52000</v>
      </c>
      <c r="E278"/>
      <c r="F278" s="36" t="e">
        <f t="shared" ref="F278:Q278" si="128">IF(F$166&gt;1,1,0)</f>
        <v>#REF!</v>
      </c>
      <c r="G278" s="36" t="e">
        <f t="shared" si="128"/>
        <v>#REF!</v>
      </c>
      <c r="H278" s="36" t="e">
        <f t="shared" si="128"/>
        <v>#REF!</v>
      </c>
      <c r="I278" s="36" t="e">
        <f t="shared" si="128"/>
        <v>#REF!</v>
      </c>
      <c r="J278" s="36" t="e">
        <f t="shared" si="128"/>
        <v>#REF!</v>
      </c>
      <c r="K278" s="36" t="e">
        <f t="shared" si="128"/>
        <v>#REF!</v>
      </c>
      <c r="L278" s="36" t="e">
        <f t="shared" si="128"/>
        <v>#REF!</v>
      </c>
      <c r="M278" s="36" t="e">
        <f t="shared" si="128"/>
        <v>#REF!</v>
      </c>
      <c r="N278" s="36" t="e">
        <f t="shared" si="128"/>
        <v>#REF!</v>
      </c>
      <c r="O278" s="36" t="e">
        <f t="shared" si="128"/>
        <v>#REF!</v>
      </c>
      <c r="P278" s="36" t="e">
        <f t="shared" si="128"/>
        <v>#REF!</v>
      </c>
      <c r="Q278" s="36" t="e">
        <f t="shared" si="128"/>
        <v>#REF!</v>
      </c>
    </row>
    <row r="279" spans="1:17" x14ac:dyDescent="0.25">
      <c r="A279" s="37">
        <v>1110</v>
      </c>
      <c r="B279" s="7" t="s">
        <v>164</v>
      </c>
      <c r="D279" s="89">
        <v>52000</v>
      </c>
      <c r="E279"/>
      <c r="F279" s="36">
        <f t="shared" ref="F279:Q279" si="129">IF(F$167&gt;1,1,0)</f>
        <v>1</v>
      </c>
      <c r="G279" s="36">
        <f t="shared" si="129"/>
        <v>1</v>
      </c>
      <c r="H279" s="36">
        <f t="shared" si="129"/>
        <v>1</v>
      </c>
      <c r="I279" s="36">
        <f t="shared" si="129"/>
        <v>1</v>
      </c>
      <c r="J279" s="36">
        <f t="shared" si="129"/>
        <v>1</v>
      </c>
      <c r="K279" s="36">
        <f t="shared" si="129"/>
        <v>1</v>
      </c>
      <c r="L279" s="36">
        <f t="shared" si="129"/>
        <v>1</v>
      </c>
      <c r="M279" s="36">
        <f t="shared" si="129"/>
        <v>1</v>
      </c>
      <c r="N279" s="36">
        <f t="shared" si="129"/>
        <v>1</v>
      </c>
      <c r="O279" s="36">
        <f t="shared" si="129"/>
        <v>1</v>
      </c>
      <c r="P279" s="36">
        <f t="shared" si="129"/>
        <v>1</v>
      </c>
      <c r="Q279" s="36">
        <f t="shared" si="129"/>
        <v>1</v>
      </c>
    </row>
    <row r="280" spans="1:17" x14ac:dyDescent="0.25">
      <c r="A280" s="37">
        <v>1110</v>
      </c>
      <c r="B280" s="7" t="s">
        <v>166</v>
      </c>
      <c r="D280" s="89">
        <v>52000</v>
      </c>
      <c r="E280"/>
      <c r="F280" s="36">
        <f t="shared" ref="F280:Q280" si="130">IF(F$168&gt;1,1,0)</f>
        <v>1</v>
      </c>
      <c r="G280" s="36">
        <f t="shared" si="130"/>
        <v>1</v>
      </c>
      <c r="H280" s="36">
        <f t="shared" si="130"/>
        <v>1</v>
      </c>
      <c r="I280" s="36">
        <f t="shared" si="130"/>
        <v>1</v>
      </c>
      <c r="J280" s="36">
        <f t="shared" si="130"/>
        <v>1</v>
      </c>
      <c r="K280" s="36">
        <f t="shared" si="130"/>
        <v>1</v>
      </c>
      <c r="L280" s="36">
        <f t="shared" si="130"/>
        <v>1</v>
      </c>
      <c r="M280" s="36">
        <f t="shared" si="130"/>
        <v>1</v>
      </c>
      <c r="N280" s="36">
        <f t="shared" si="130"/>
        <v>1</v>
      </c>
      <c r="O280" s="36">
        <f t="shared" si="130"/>
        <v>1</v>
      </c>
      <c r="P280" s="36">
        <f t="shared" si="130"/>
        <v>1</v>
      </c>
      <c r="Q280" s="36">
        <f t="shared" si="130"/>
        <v>1</v>
      </c>
    </row>
    <row r="281" spans="1:17" x14ac:dyDescent="0.25">
      <c r="A281" s="37">
        <v>1110</v>
      </c>
      <c r="B281" s="7" t="s">
        <v>167</v>
      </c>
      <c r="D281" s="89">
        <v>52000</v>
      </c>
      <c r="E281"/>
      <c r="F281" s="36" t="e">
        <f t="shared" ref="F281:Q281" si="131">IF(F$165&gt;1,1,0)</f>
        <v>#REF!</v>
      </c>
      <c r="G281" s="36" t="e">
        <f t="shared" si="131"/>
        <v>#REF!</v>
      </c>
      <c r="H281" s="36" t="e">
        <f t="shared" si="131"/>
        <v>#REF!</v>
      </c>
      <c r="I281" s="36" t="e">
        <f t="shared" si="131"/>
        <v>#REF!</v>
      </c>
      <c r="J281" s="36" t="e">
        <f t="shared" si="131"/>
        <v>#REF!</v>
      </c>
      <c r="K281" s="36" t="e">
        <f t="shared" si="131"/>
        <v>#REF!</v>
      </c>
      <c r="L281" s="36" t="e">
        <f t="shared" si="131"/>
        <v>#REF!</v>
      </c>
      <c r="M281" s="36" t="e">
        <f t="shared" si="131"/>
        <v>#REF!</v>
      </c>
      <c r="N281" s="36" t="e">
        <f t="shared" si="131"/>
        <v>#REF!</v>
      </c>
      <c r="O281" s="36" t="e">
        <f t="shared" si="131"/>
        <v>#REF!</v>
      </c>
      <c r="P281" s="36" t="e">
        <f t="shared" si="131"/>
        <v>#REF!</v>
      </c>
      <c r="Q281" s="36" t="e">
        <f t="shared" si="131"/>
        <v>#REF!</v>
      </c>
    </row>
    <row r="282" spans="1:17" x14ac:dyDescent="0.25">
      <c r="A282" s="37">
        <v>1110</v>
      </c>
      <c r="B282" s="7" t="s">
        <v>168</v>
      </c>
      <c r="D282" s="89">
        <v>52000</v>
      </c>
      <c r="E282"/>
      <c r="F282" s="36" t="e">
        <f t="shared" ref="F282:Q282" si="132">IF(F$166&gt;1,1,0)</f>
        <v>#REF!</v>
      </c>
      <c r="G282" s="36" t="e">
        <f t="shared" si="132"/>
        <v>#REF!</v>
      </c>
      <c r="H282" s="36" t="e">
        <f t="shared" si="132"/>
        <v>#REF!</v>
      </c>
      <c r="I282" s="36" t="e">
        <f t="shared" si="132"/>
        <v>#REF!</v>
      </c>
      <c r="J282" s="36" t="e">
        <f t="shared" si="132"/>
        <v>#REF!</v>
      </c>
      <c r="K282" s="36" t="e">
        <f t="shared" si="132"/>
        <v>#REF!</v>
      </c>
      <c r="L282" s="36" t="e">
        <f t="shared" si="132"/>
        <v>#REF!</v>
      </c>
      <c r="M282" s="36" t="e">
        <f t="shared" si="132"/>
        <v>#REF!</v>
      </c>
      <c r="N282" s="36" t="e">
        <f t="shared" si="132"/>
        <v>#REF!</v>
      </c>
      <c r="O282" s="36" t="e">
        <f t="shared" si="132"/>
        <v>#REF!</v>
      </c>
      <c r="P282" s="36" t="e">
        <f t="shared" si="132"/>
        <v>#REF!</v>
      </c>
      <c r="Q282" s="36" t="e">
        <f t="shared" si="132"/>
        <v>#REF!</v>
      </c>
    </row>
    <row r="283" spans="1:17" x14ac:dyDescent="0.25">
      <c r="A283" s="37">
        <v>1110</v>
      </c>
      <c r="B283" s="7" t="s">
        <v>244</v>
      </c>
      <c r="D283" s="89">
        <v>52000</v>
      </c>
      <c r="E283"/>
      <c r="F283" s="36">
        <f t="shared" ref="F283:Q283" si="133">IF(F$167&gt;1,1,0)</f>
        <v>1</v>
      </c>
      <c r="G283" s="36">
        <f t="shared" si="133"/>
        <v>1</v>
      </c>
      <c r="H283" s="36">
        <f t="shared" si="133"/>
        <v>1</v>
      </c>
      <c r="I283" s="36">
        <f t="shared" si="133"/>
        <v>1</v>
      </c>
      <c r="J283" s="36">
        <f t="shared" si="133"/>
        <v>1</v>
      </c>
      <c r="K283" s="36">
        <f t="shared" si="133"/>
        <v>1</v>
      </c>
      <c r="L283" s="36">
        <f t="shared" si="133"/>
        <v>1</v>
      </c>
      <c r="M283" s="36">
        <f t="shared" si="133"/>
        <v>1</v>
      </c>
      <c r="N283" s="36">
        <f t="shared" si="133"/>
        <v>1</v>
      </c>
      <c r="O283" s="36">
        <f t="shared" si="133"/>
        <v>1</v>
      </c>
      <c r="P283" s="36">
        <f t="shared" si="133"/>
        <v>1</v>
      </c>
      <c r="Q283" s="36">
        <f t="shared" si="133"/>
        <v>1</v>
      </c>
    </row>
    <row r="284" spans="1:17" x14ac:dyDescent="0.25">
      <c r="A284" s="37">
        <v>1110</v>
      </c>
      <c r="B284" s="7" t="s">
        <v>169</v>
      </c>
      <c r="D284" s="89">
        <v>52000</v>
      </c>
      <c r="E284"/>
      <c r="F284" s="36">
        <f t="shared" ref="F284:Q284" si="134">IF(F$168&gt;1,1,0)</f>
        <v>1</v>
      </c>
      <c r="G284" s="36">
        <f t="shared" si="134"/>
        <v>1</v>
      </c>
      <c r="H284" s="36">
        <f t="shared" si="134"/>
        <v>1</v>
      </c>
      <c r="I284" s="36">
        <f t="shared" si="134"/>
        <v>1</v>
      </c>
      <c r="J284" s="36">
        <f t="shared" si="134"/>
        <v>1</v>
      </c>
      <c r="K284" s="36">
        <f t="shared" si="134"/>
        <v>1</v>
      </c>
      <c r="L284" s="36">
        <f t="shared" si="134"/>
        <v>1</v>
      </c>
      <c r="M284" s="36">
        <f t="shared" si="134"/>
        <v>1</v>
      </c>
      <c r="N284" s="36">
        <f t="shared" si="134"/>
        <v>1</v>
      </c>
      <c r="O284" s="36">
        <f t="shared" si="134"/>
        <v>1</v>
      </c>
      <c r="P284" s="36">
        <f t="shared" si="134"/>
        <v>1</v>
      </c>
      <c r="Q284" s="36">
        <f t="shared" si="134"/>
        <v>1</v>
      </c>
    </row>
    <row r="285" spans="1:17" x14ac:dyDescent="0.25">
      <c r="A285" s="37">
        <v>1110</v>
      </c>
      <c r="B285" s="7" t="s">
        <v>245</v>
      </c>
      <c r="D285" s="89">
        <v>52000</v>
      </c>
      <c r="E285"/>
      <c r="F285" s="36" t="e">
        <f t="shared" ref="F285:Q289" si="135">IF(F$165&gt;1,1,0)</f>
        <v>#REF!</v>
      </c>
      <c r="G285" s="36" t="e">
        <f t="shared" si="135"/>
        <v>#REF!</v>
      </c>
      <c r="H285" s="36" t="e">
        <f t="shared" si="135"/>
        <v>#REF!</v>
      </c>
      <c r="I285" s="36" t="e">
        <f t="shared" si="135"/>
        <v>#REF!</v>
      </c>
      <c r="J285" s="36" t="e">
        <f t="shared" si="135"/>
        <v>#REF!</v>
      </c>
      <c r="K285" s="36" t="e">
        <f t="shared" si="135"/>
        <v>#REF!</v>
      </c>
      <c r="L285" s="36" t="e">
        <f t="shared" si="135"/>
        <v>#REF!</v>
      </c>
      <c r="M285" s="36" t="e">
        <f t="shared" si="135"/>
        <v>#REF!</v>
      </c>
      <c r="N285" s="36" t="e">
        <f t="shared" si="135"/>
        <v>#REF!</v>
      </c>
      <c r="O285" s="36" t="e">
        <f t="shared" si="135"/>
        <v>#REF!</v>
      </c>
      <c r="P285" s="36" t="e">
        <f t="shared" si="135"/>
        <v>#REF!</v>
      </c>
      <c r="Q285" s="36" t="e">
        <f t="shared" si="135"/>
        <v>#REF!</v>
      </c>
    </row>
    <row r="286" spans="1:17" x14ac:dyDescent="0.25">
      <c r="A286" s="37">
        <v>1110</v>
      </c>
      <c r="B286" s="7" t="s">
        <v>246</v>
      </c>
      <c r="D286" s="89">
        <v>52000</v>
      </c>
      <c r="E286"/>
      <c r="F286" s="36" t="e">
        <f t="shared" si="135"/>
        <v>#REF!</v>
      </c>
      <c r="G286" s="36" t="e">
        <f t="shared" si="135"/>
        <v>#REF!</v>
      </c>
      <c r="H286" s="36" t="e">
        <f t="shared" si="135"/>
        <v>#REF!</v>
      </c>
      <c r="I286" s="36" t="e">
        <f t="shared" si="135"/>
        <v>#REF!</v>
      </c>
      <c r="J286" s="36" t="e">
        <f t="shared" si="135"/>
        <v>#REF!</v>
      </c>
      <c r="K286" s="36" t="e">
        <f t="shared" si="135"/>
        <v>#REF!</v>
      </c>
      <c r="L286" s="36" t="e">
        <f t="shared" si="135"/>
        <v>#REF!</v>
      </c>
      <c r="M286" s="36" t="e">
        <f t="shared" si="135"/>
        <v>#REF!</v>
      </c>
      <c r="N286" s="36" t="e">
        <f t="shared" si="135"/>
        <v>#REF!</v>
      </c>
      <c r="O286" s="36" t="e">
        <f t="shared" si="135"/>
        <v>#REF!</v>
      </c>
      <c r="P286" s="36" t="e">
        <f t="shared" si="135"/>
        <v>#REF!</v>
      </c>
      <c r="Q286" s="36" t="e">
        <f t="shared" si="135"/>
        <v>#REF!</v>
      </c>
    </row>
    <row r="287" spans="1:17" x14ac:dyDescent="0.25">
      <c r="A287" s="37">
        <v>1110</v>
      </c>
      <c r="B287" s="7" t="s">
        <v>247</v>
      </c>
      <c r="D287" s="89">
        <v>52000</v>
      </c>
      <c r="E287"/>
      <c r="F287" s="36" t="e">
        <f t="shared" si="135"/>
        <v>#REF!</v>
      </c>
      <c r="G287" s="36" t="e">
        <f t="shared" si="135"/>
        <v>#REF!</v>
      </c>
      <c r="H287" s="36" t="e">
        <f t="shared" si="135"/>
        <v>#REF!</v>
      </c>
      <c r="I287" s="36" t="e">
        <f t="shared" si="135"/>
        <v>#REF!</v>
      </c>
      <c r="J287" s="36" t="e">
        <f t="shared" si="135"/>
        <v>#REF!</v>
      </c>
      <c r="K287" s="36" t="e">
        <f t="shared" si="135"/>
        <v>#REF!</v>
      </c>
      <c r="L287" s="36" t="e">
        <f t="shared" si="135"/>
        <v>#REF!</v>
      </c>
      <c r="M287" s="36" t="e">
        <f t="shared" si="135"/>
        <v>#REF!</v>
      </c>
      <c r="N287" s="36" t="e">
        <f t="shared" si="135"/>
        <v>#REF!</v>
      </c>
      <c r="O287" s="36" t="e">
        <f t="shared" si="135"/>
        <v>#REF!</v>
      </c>
      <c r="P287" s="36" t="e">
        <f t="shared" si="135"/>
        <v>#REF!</v>
      </c>
      <c r="Q287" s="36" t="e">
        <f t="shared" si="135"/>
        <v>#REF!</v>
      </c>
    </row>
    <row r="288" spans="1:17" x14ac:dyDescent="0.25">
      <c r="A288" s="37">
        <v>1110</v>
      </c>
      <c r="B288" s="7" t="s">
        <v>247</v>
      </c>
      <c r="D288" s="89">
        <v>52000</v>
      </c>
      <c r="E288"/>
      <c r="F288" s="36" t="e">
        <f t="shared" si="135"/>
        <v>#REF!</v>
      </c>
      <c r="G288" s="36" t="e">
        <f t="shared" si="135"/>
        <v>#REF!</v>
      </c>
      <c r="H288" s="36" t="e">
        <f t="shared" si="135"/>
        <v>#REF!</v>
      </c>
      <c r="I288" s="36" t="e">
        <f t="shared" si="135"/>
        <v>#REF!</v>
      </c>
      <c r="J288" s="36" t="e">
        <f t="shared" si="135"/>
        <v>#REF!</v>
      </c>
      <c r="K288" s="36" t="e">
        <f t="shared" si="135"/>
        <v>#REF!</v>
      </c>
      <c r="L288" s="36" t="e">
        <f t="shared" si="135"/>
        <v>#REF!</v>
      </c>
      <c r="M288" s="36" t="e">
        <f t="shared" si="135"/>
        <v>#REF!</v>
      </c>
      <c r="N288" s="36" t="e">
        <f t="shared" si="135"/>
        <v>#REF!</v>
      </c>
      <c r="O288" s="36" t="e">
        <f t="shared" si="135"/>
        <v>#REF!</v>
      </c>
      <c r="P288" s="36" t="e">
        <f t="shared" si="135"/>
        <v>#REF!</v>
      </c>
      <c r="Q288" s="36" t="e">
        <f t="shared" si="135"/>
        <v>#REF!</v>
      </c>
    </row>
    <row r="289" spans="1:17" x14ac:dyDescent="0.25">
      <c r="A289" s="37">
        <v>1110</v>
      </c>
      <c r="B289" s="7" t="s">
        <v>170</v>
      </c>
      <c r="D289" s="89">
        <v>52000</v>
      </c>
      <c r="E289"/>
      <c r="F289" s="36" t="e">
        <f t="shared" si="135"/>
        <v>#REF!</v>
      </c>
      <c r="G289" s="36" t="e">
        <f t="shared" si="135"/>
        <v>#REF!</v>
      </c>
      <c r="H289" s="36" t="e">
        <f t="shared" si="135"/>
        <v>#REF!</v>
      </c>
      <c r="I289" s="36" t="e">
        <f t="shared" si="135"/>
        <v>#REF!</v>
      </c>
      <c r="J289" s="36" t="e">
        <f t="shared" si="135"/>
        <v>#REF!</v>
      </c>
      <c r="K289" s="36" t="e">
        <f t="shared" si="135"/>
        <v>#REF!</v>
      </c>
      <c r="L289" s="36" t="e">
        <f t="shared" si="135"/>
        <v>#REF!</v>
      </c>
      <c r="M289" s="36" t="e">
        <f t="shared" si="135"/>
        <v>#REF!</v>
      </c>
      <c r="N289" s="36" t="e">
        <f t="shared" si="135"/>
        <v>#REF!</v>
      </c>
      <c r="O289" s="36" t="e">
        <f t="shared" si="135"/>
        <v>#REF!</v>
      </c>
      <c r="P289" s="36" t="e">
        <f t="shared" si="135"/>
        <v>#REF!</v>
      </c>
      <c r="Q289" s="36" t="e">
        <f t="shared" si="135"/>
        <v>#REF!</v>
      </c>
    </row>
    <row r="290" spans="1:17" x14ac:dyDescent="0.25">
      <c r="A290" s="37">
        <v>1110</v>
      </c>
      <c r="B290" s="7" t="s">
        <v>170</v>
      </c>
      <c r="D290" s="89">
        <v>52000</v>
      </c>
      <c r="E290"/>
      <c r="F290" s="36">
        <f t="shared" ref="F290:Q290" si="136">IF(F$167&gt;1,1,0)</f>
        <v>1</v>
      </c>
      <c r="G290" s="36">
        <f t="shared" si="136"/>
        <v>1</v>
      </c>
      <c r="H290" s="36">
        <f t="shared" si="136"/>
        <v>1</v>
      </c>
      <c r="I290" s="36">
        <f t="shared" si="136"/>
        <v>1</v>
      </c>
      <c r="J290" s="36">
        <f t="shared" si="136"/>
        <v>1</v>
      </c>
      <c r="K290" s="36">
        <f t="shared" si="136"/>
        <v>1</v>
      </c>
      <c r="L290" s="36">
        <f t="shared" si="136"/>
        <v>1</v>
      </c>
      <c r="M290" s="36">
        <f t="shared" si="136"/>
        <v>1</v>
      </c>
      <c r="N290" s="36">
        <f t="shared" si="136"/>
        <v>1</v>
      </c>
      <c r="O290" s="36">
        <f t="shared" si="136"/>
        <v>1</v>
      </c>
      <c r="P290" s="36">
        <f t="shared" si="136"/>
        <v>1</v>
      </c>
      <c r="Q290" s="36">
        <f t="shared" si="136"/>
        <v>1</v>
      </c>
    </row>
    <row r="291" spans="1:17" x14ac:dyDescent="0.25">
      <c r="A291" s="37">
        <v>2300</v>
      </c>
      <c r="B291" s="7" t="s">
        <v>248</v>
      </c>
      <c r="D291" s="89">
        <v>52000</v>
      </c>
      <c r="E291"/>
      <c r="F291" s="36" t="e">
        <f t="shared" ref="F291:Q291" si="137">IF(F$165&gt;1,1,0)</f>
        <v>#REF!</v>
      </c>
      <c r="G291" s="36" t="e">
        <f t="shared" si="137"/>
        <v>#REF!</v>
      </c>
      <c r="H291" s="36" t="e">
        <f t="shared" si="137"/>
        <v>#REF!</v>
      </c>
      <c r="I291" s="36" t="e">
        <f t="shared" si="137"/>
        <v>#REF!</v>
      </c>
      <c r="J291" s="36" t="e">
        <f t="shared" si="137"/>
        <v>#REF!</v>
      </c>
      <c r="K291" s="36" t="e">
        <f t="shared" si="137"/>
        <v>#REF!</v>
      </c>
      <c r="L291" s="36" t="e">
        <f t="shared" si="137"/>
        <v>#REF!</v>
      </c>
      <c r="M291" s="36" t="e">
        <f t="shared" si="137"/>
        <v>#REF!</v>
      </c>
      <c r="N291" s="36" t="e">
        <f t="shared" si="137"/>
        <v>#REF!</v>
      </c>
      <c r="O291" s="36" t="e">
        <f t="shared" si="137"/>
        <v>#REF!</v>
      </c>
      <c r="P291" s="36" t="e">
        <f t="shared" si="137"/>
        <v>#REF!</v>
      </c>
      <c r="Q291" s="36" t="e">
        <f t="shared" si="137"/>
        <v>#REF!</v>
      </c>
    </row>
    <row r="292" spans="1:17" x14ac:dyDescent="0.25">
      <c r="A292" s="37">
        <v>2300</v>
      </c>
      <c r="B292" s="7" t="s">
        <v>248</v>
      </c>
      <c r="D292" s="89">
        <v>52000</v>
      </c>
      <c r="E292"/>
      <c r="F292" s="36">
        <f t="shared" ref="F292:Q292" si="138">IF(F$167&gt;1,1,0)</f>
        <v>1</v>
      </c>
      <c r="G292" s="36">
        <f t="shared" si="138"/>
        <v>1</v>
      </c>
      <c r="H292" s="36">
        <f t="shared" si="138"/>
        <v>1</v>
      </c>
      <c r="I292" s="36">
        <f t="shared" si="138"/>
        <v>1</v>
      </c>
      <c r="J292" s="36">
        <f t="shared" si="138"/>
        <v>1</v>
      </c>
      <c r="K292" s="36">
        <f t="shared" si="138"/>
        <v>1</v>
      </c>
      <c r="L292" s="36">
        <f t="shared" si="138"/>
        <v>1</v>
      </c>
      <c r="M292" s="36">
        <f t="shared" si="138"/>
        <v>1</v>
      </c>
      <c r="N292" s="36">
        <f t="shared" si="138"/>
        <v>1</v>
      </c>
      <c r="O292" s="36">
        <f t="shared" si="138"/>
        <v>1</v>
      </c>
      <c r="P292" s="36">
        <f t="shared" si="138"/>
        <v>1</v>
      </c>
      <c r="Q292" s="36">
        <f t="shared" si="138"/>
        <v>1</v>
      </c>
    </row>
    <row r="293" spans="1:17" x14ac:dyDescent="0.25">
      <c r="A293" s="37">
        <v>2900</v>
      </c>
      <c r="B293" s="7" t="s">
        <v>250</v>
      </c>
      <c r="D293" s="89">
        <v>33000</v>
      </c>
      <c r="E293"/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</row>
    <row r="294" spans="1:17" x14ac:dyDescent="0.25">
      <c r="A294" s="37">
        <v>2900</v>
      </c>
      <c r="B294" s="7" t="s">
        <v>251</v>
      </c>
      <c r="D294" s="89">
        <v>33000</v>
      </c>
      <c r="E294"/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</row>
    <row r="295" spans="1:17" x14ac:dyDescent="0.25">
      <c r="A295" s="37">
        <v>2900</v>
      </c>
      <c r="B295" s="7" t="s">
        <v>26</v>
      </c>
      <c r="D295" s="90">
        <f t="shared" ref="D295:D312" si="139">4*11*185</f>
        <v>8140</v>
      </c>
      <c r="E295"/>
      <c r="F295" s="83">
        <v>0</v>
      </c>
      <c r="G295" s="83">
        <v>0</v>
      </c>
      <c r="H295" s="83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 s="36">
        <v>0</v>
      </c>
      <c r="Q295" s="36">
        <v>0</v>
      </c>
    </row>
    <row r="296" spans="1:17" x14ac:dyDescent="0.25">
      <c r="A296" s="37">
        <v>2900</v>
      </c>
      <c r="B296" s="7" t="s">
        <v>26</v>
      </c>
      <c r="D296" s="90">
        <f t="shared" si="139"/>
        <v>8140</v>
      </c>
      <c r="E296"/>
      <c r="F296" s="83">
        <v>0</v>
      </c>
      <c r="G296" s="83">
        <v>0</v>
      </c>
      <c r="H296" s="83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 s="36">
        <v>0</v>
      </c>
      <c r="Q296" s="36">
        <v>0</v>
      </c>
    </row>
    <row r="297" spans="1:17" x14ac:dyDescent="0.25">
      <c r="A297" s="37">
        <v>2900</v>
      </c>
      <c r="B297" s="7" t="s">
        <v>26</v>
      </c>
      <c r="D297" s="90">
        <f t="shared" si="139"/>
        <v>8140</v>
      </c>
      <c r="E297"/>
      <c r="F297" s="83">
        <v>0</v>
      </c>
      <c r="G297" s="83">
        <v>0</v>
      </c>
      <c r="H297" s="83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 s="36">
        <v>0</v>
      </c>
      <c r="Q297" s="36">
        <v>0</v>
      </c>
    </row>
    <row r="298" spans="1:17" x14ac:dyDescent="0.25">
      <c r="A298" s="37">
        <v>2900</v>
      </c>
      <c r="B298" s="7" t="s">
        <v>26</v>
      </c>
      <c r="D298" s="90">
        <f t="shared" si="139"/>
        <v>8140</v>
      </c>
      <c r="E298"/>
      <c r="F298" s="83">
        <v>0</v>
      </c>
      <c r="G298" s="83">
        <v>0</v>
      </c>
      <c r="H298" s="83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 s="36">
        <v>0</v>
      </c>
      <c r="Q298" s="36">
        <v>0</v>
      </c>
    </row>
    <row r="299" spans="1:17" x14ac:dyDescent="0.25">
      <c r="A299" s="37">
        <v>2900</v>
      </c>
      <c r="B299" s="7" t="s">
        <v>26</v>
      </c>
      <c r="D299" s="90">
        <f t="shared" si="139"/>
        <v>8140</v>
      </c>
      <c r="E299"/>
      <c r="F299" s="83">
        <v>0</v>
      </c>
      <c r="G299" s="83">
        <v>0</v>
      </c>
      <c r="H299" s="83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 s="36">
        <v>0</v>
      </c>
      <c r="Q299" s="36">
        <v>0</v>
      </c>
    </row>
    <row r="300" spans="1:17" x14ac:dyDescent="0.25">
      <c r="A300" s="37">
        <v>2900</v>
      </c>
      <c r="B300" s="7" t="s">
        <v>26</v>
      </c>
      <c r="D300" s="90">
        <f t="shared" si="139"/>
        <v>8140</v>
      </c>
      <c r="E300"/>
      <c r="F300" s="83">
        <v>0</v>
      </c>
      <c r="G300" s="83">
        <v>0</v>
      </c>
      <c r="H300" s="83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 s="36">
        <v>0</v>
      </c>
      <c r="Q300" s="36">
        <v>0</v>
      </c>
    </row>
    <row r="301" spans="1:17" x14ac:dyDescent="0.25">
      <c r="A301" s="37">
        <v>2900</v>
      </c>
      <c r="B301" s="7" t="s">
        <v>26</v>
      </c>
      <c r="D301" s="90">
        <f t="shared" si="139"/>
        <v>8140</v>
      </c>
      <c r="E301"/>
      <c r="F301" s="83">
        <v>0</v>
      </c>
      <c r="G301" s="83">
        <v>0</v>
      </c>
      <c r="H301" s="83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 s="36">
        <v>0</v>
      </c>
      <c r="Q301" s="36">
        <v>0</v>
      </c>
    </row>
    <row r="302" spans="1:17" x14ac:dyDescent="0.25">
      <c r="A302" s="37">
        <v>2900</v>
      </c>
      <c r="B302" s="7" t="s">
        <v>26</v>
      </c>
      <c r="D302" s="90">
        <f t="shared" si="139"/>
        <v>8140</v>
      </c>
      <c r="E302"/>
      <c r="F302" s="83">
        <v>0</v>
      </c>
      <c r="G302" s="83">
        <v>0</v>
      </c>
      <c r="H302" s="83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 s="36">
        <v>0</v>
      </c>
      <c r="Q302" s="36">
        <v>0</v>
      </c>
    </row>
    <row r="303" spans="1:17" x14ac:dyDescent="0.25">
      <c r="A303" s="37">
        <v>2900</v>
      </c>
      <c r="B303" s="7" t="s">
        <v>26</v>
      </c>
      <c r="D303" s="90">
        <f t="shared" si="139"/>
        <v>8140</v>
      </c>
      <c r="E303"/>
      <c r="F303" s="83">
        <v>0</v>
      </c>
      <c r="G303" s="83">
        <v>0</v>
      </c>
      <c r="H303" s="8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 s="36">
        <v>0</v>
      </c>
      <c r="Q303" s="36">
        <v>0</v>
      </c>
    </row>
    <row r="304" spans="1:17" x14ac:dyDescent="0.25">
      <c r="A304" s="37">
        <v>2900</v>
      </c>
      <c r="B304" s="7" t="s">
        <v>26</v>
      </c>
      <c r="D304" s="90">
        <f t="shared" si="139"/>
        <v>8140</v>
      </c>
      <c r="E304"/>
      <c r="F304" s="83">
        <v>0</v>
      </c>
      <c r="G304" s="83">
        <v>0</v>
      </c>
      <c r="H304" s="83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 s="36">
        <v>0</v>
      </c>
      <c r="Q304" s="36">
        <v>0</v>
      </c>
    </row>
    <row r="305" spans="1:17" x14ac:dyDescent="0.25">
      <c r="A305" s="37">
        <v>2900</v>
      </c>
      <c r="B305" s="7" t="s">
        <v>26</v>
      </c>
      <c r="D305" s="90">
        <f t="shared" si="139"/>
        <v>8140</v>
      </c>
      <c r="E305"/>
      <c r="F305" s="83">
        <v>0</v>
      </c>
      <c r="G305" s="83">
        <v>0</v>
      </c>
      <c r="H305" s="83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 s="36">
        <v>0</v>
      </c>
      <c r="Q305" s="36">
        <v>0</v>
      </c>
    </row>
    <row r="306" spans="1:17" x14ac:dyDescent="0.25">
      <c r="A306" s="37">
        <v>2900</v>
      </c>
      <c r="B306" s="7" t="s">
        <v>26</v>
      </c>
      <c r="D306" s="90">
        <f t="shared" si="139"/>
        <v>8140</v>
      </c>
      <c r="E306"/>
      <c r="F306" s="83">
        <v>0</v>
      </c>
      <c r="G306" s="83">
        <v>0</v>
      </c>
      <c r="H306" s="83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 s="36">
        <v>0</v>
      </c>
      <c r="Q306" s="36">
        <v>0</v>
      </c>
    </row>
    <row r="307" spans="1:17" x14ac:dyDescent="0.25">
      <c r="A307" s="37">
        <v>2900</v>
      </c>
      <c r="B307" s="7" t="s">
        <v>26</v>
      </c>
      <c r="D307" s="90">
        <f t="shared" si="139"/>
        <v>8140</v>
      </c>
      <c r="E307"/>
      <c r="F307" s="83">
        <v>0</v>
      </c>
      <c r="G307" s="83">
        <v>0</v>
      </c>
      <c r="H307" s="83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 s="36">
        <v>0</v>
      </c>
      <c r="Q307" s="36">
        <v>0</v>
      </c>
    </row>
    <row r="308" spans="1:17" x14ac:dyDescent="0.25">
      <c r="A308" s="37">
        <v>2900</v>
      </c>
      <c r="B308" s="7" t="s">
        <v>26</v>
      </c>
      <c r="D308" s="90">
        <f t="shared" si="139"/>
        <v>8140</v>
      </c>
      <c r="E308"/>
      <c r="F308" s="83">
        <v>0</v>
      </c>
      <c r="G308" s="83">
        <v>0</v>
      </c>
      <c r="H308" s="83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 s="36">
        <v>0</v>
      </c>
      <c r="Q308" s="36">
        <v>0</v>
      </c>
    </row>
    <row r="309" spans="1:17" x14ac:dyDescent="0.25">
      <c r="A309" s="37">
        <v>2900</v>
      </c>
      <c r="B309" s="7" t="s">
        <v>26</v>
      </c>
      <c r="D309" s="90">
        <f t="shared" si="139"/>
        <v>8140</v>
      </c>
      <c r="E309"/>
      <c r="F309" s="83">
        <v>0</v>
      </c>
      <c r="G309" s="83">
        <v>0</v>
      </c>
      <c r="H309" s="83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 s="36">
        <v>0</v>
      </c>
      <c r="Q309" s="36">
        <v>0</v>
      </c>
    </row>
    <row r="310" spans="1:17" x14ac:dyDescent="0.25">
      <c r="A310" s="37">
        <v>2900</v>
      </c>
      <c r="B310" s="7" t="s">
        <v>26</v>
      </c>
      <c r="D310" s="90">
        <f t="shared" si="139"/>
        <v>8140</v>
      </c>
      <c r="E310"/>
      <c r="F310" s="83">
        <v>0</v>
      </c>
      <c r="G310" s="83">
        <v>0</v>
      </c>
      <c r="H310" s="83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 s="36">
        <v>0</v>
      </c>
      <c r="Q310" s="36">
        <v>0</v>
      </c>
    </row>
    <row r="311" spans="1:17" x14ac:dyDescent="0.25">
      <c r="A311" s="37">
        <v>2900</v>
      </c>
      <c r="B311" s="7" t="s">
        <v>26</v>
      </c>
      <c r="D311" s="90">
        <f t="shared" si="139"/>
        <v>8140</v>
      </c>
      <c r="E311"/>
      <c r="F311" s="83">
        <v>0</v>
      </c>
      <c r="G311" s="83">
        <v>0</v>
      </c>
      <c r="H311" s="83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 s="36">
        <v>0</v>
      </c>
      <c r="Q311" s="36">
        <v>0</v>
      </c>
    </row>
    <row r="312" spans="1:17" x14ac:dyDescent="0.25">
      <c r="A312" s="37">
        <v>2900</v>
      </c>
      <c r="B312" s="7" t="s">
        <v>26</v>
      </c>
      <c r="D312" s="90">
        <f t="shared" si="139"/>
        <v>8140</v>
      </c>
      <c r="E312"/>
      <c r="F312" s="91">
        <v>0</v>
      </c>
      <c r="G312" s="91">
        <v>0</v>
      </c>
      <c r="H312" s="91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63">
        <v>0</v>
      </c>
      <c r="Q312" s="63">
        <v>0</v>
      </c>
    </row>
    <row r="313" spans="1:17" s="36" customFormat="1" hidden="1" x14ac:dyDescent="0.25">
      <c r="A313" s="111"/>
      <c r="D313" s="117" t="s">
        <v>11</v>
      </c>
      <c r="F313" s="36" t="e">
        <f t="shared" ref="F313:Q313" si="140">SUM(F189:F312)</f>
        <v>#REF!</v>
      </c>
      <c r="G313" s="36" t="e">
        <f t="shared" si="140"/>
        <v>#REF!</v>
      </c>
      <c r="H313" s="36" t="e">
        <f t="shared" si="140"/>
        <v>#REF!</v>
      </c>
      <c r="I313" s="36" t="e">
        <f t="shared" si="140"/>
        <v>#REF!</v>
      </c>
      <c r="J313" s="36" t="e">
        <f t="shared" si="140"/>
        <v>#REF!</v>
      </c>
      <c r="K313" s="36" t="e">
        <f t="shared" si="140"/>
        <v>#REF!</v>
      </c>
      <c r="L313" s="36" t="e">
        <f t="shared" si="140"/>
        <v>#REF!</v>
      </c>
      <c r="M313" s="36" t="e">
        <f t="shared" si="140"/>
        <v>#REF!</v>
      </c>
      <c r="N313" s="36" t="e">
        <f t="shared" si="140"/>
        <v>#REF!</v>
      </c>
      <c r="O313" s="36" t="e">
        <f t="shared" si="140"/>
        <v>#REF!</v>
      </c>
      <c r="P313" s="36" t="e">
        <f t="shared" si="140"/>
        <v>#REF!</v>
      </c>
      <c r="Q313" s="36" t="e">
        <f t="shared" si="140"/>
        <v>#REF!</v>
      </c>
    </row>
    <row r="314" spans="1:17" x14ac:dyDescent="0.25">
      <c r="E314"/>
      <c r="F314" s="44"/>
    </row>
    <row r="315" spans="1:17" x14ac:dyDescent="0.25">
      <c r="A315" s="114" t="s">
        <v>252</v>
      </c>
      <c r="D315" s="31"/>
      <c r="E315"/>
      <c r="F315" s="3" t="s">
        <v>0</v>
      </c>
      <c r="G315" s="21" t="s">
        <v>1</v>
      </c>
      <c r="H315" s="22" t="s">
        <v>2</v>
      </c>
      <c r="I315" s="3" t="s">
        <v>3</v>
      </c>
      <c r="J315" s="3" t="s">
        <v>4</v>
      </c>
      <c r="K315" s="4" t="s">
        <v>5</v>
      </c>
      <c r="L315" s="70" t="s">
        <v>61</v>
      </c>
      <c r="M315" s="70" t="s">
        <v>62</v>
      </c>
      <c r="N315" s="70" t="s">
        <v>63</v>
      </c>
      <c r="O315" s="70" t="s">
        <v>64</v>
      </c>
      <c r="P315" s="70" t="s">
        <v>65</v>
      </c>
      <c r="Q315" s="70" t="s">
        <v>66</v>
      </c>
    </row>
    <row r="316" spans="1:17" s="36" customFormat="1" x14ac:dyDescent="0.25">
      <c r="A316" s="111">
        <f>A188</f>
        <v>1300</v>
      </c>
      <c r="B316" s="111" t="str">
        <f>B188</f>
        <v>DCI - Elementary</v>
      </c>
      <c r="D316" s="115">
        <f t="shared" ref="D316:D379" si="141">D188</f>
        <v>75000</v>
      </c>
      <c r="E316" s="111"/>
      <c r="F316" s="115">
        <f t="shared" ref="F316:Q331" si="142">$D316*(1+E$5)*F188</f>
        <v>0</v>
      </c>
      <c r="G316" s="115">
        <f t="shared" si="142"/>
        <v>0</v>
      </c>
      <c r="H316" s="115">
        <f t="shared" si="142"/>
        <v>0</v>
      </c>
      <c r="I316" s="115">
        <f t="shared" si="142"/>
        <v>0</v>
      </c>
      <c r="J316" s="115">
        <f t="shared" si="142"/>
        <v>0</v>
      </c>
      <c r="K316" s="115">
        <f t="shared" si="142"/>
        <v>0</v>
      </c>
      <c r="L316" s="115">
        <f t="shared" si="142"/>
        <v>0</v>
      </c>
      <c r="M316" s="115">
        <f t="shared" si="142"/>
        <v>0</v>
      </c>
      <c r="N316" s="115">
        <f t="shared" si="142"/>
        <v>0</v>
      </c>
      <c r="O316" s="115">
        <f t="shared" si="142"/>
        <v>0</v>
      </c>
      <c r="P316" s="115">
        <f t="shared" si="142"/>
        <v>0</v>
      </c>
      <c r="Q316" s="115">
        <f t="shared" si="142"/>
        <v>0</v>
      </c>
    </row>
    <row r="317" spans="1:17" s="36" customFormat="1" x14ac:dyDescent="0.25">
      <c r="A317" s="111">
        <f t="shared" ref="A317:B332" si="143">A189</f>
        <v>1300</v>
      </c>
      <c r="B317" s="111" t="str">
        <f t="shared" si="143"/>
        <v>DCI - Middle</v>
      </c>
      <c r="D317" s="115">
        <f t="shared" si="141"/>
        <v>75000</v>
      </c>
      <c r="F317" s="115">
        <f t="shared" si="142"/>
        <v>0</v>
      </c>
      <c r="G317" s="115">
        <f t="shared" si="142"/>
        <v>0</v>
      </c>
      <c r="H317" s="115">
        <f t="shared" si="142"/>
        <v>0</v>
      </c>
      <c r="I317" s="115">
        <f t="shared" si="142"/>
        <v>0</v>
      </c>
      <c r="J317" s="115">
        <f t="shared" si="142"/>
        <v>0</v>
      </c>
      <c r="K317" s="115">
        <f t="shared" si="142"/>
        <v>0</v>
      </c>
      <c r="L317" s="115">
        <f t="shared" si="142"/>
        <v>0</v>
      </c>
      <c r="M317" s="115">
        <f t="shared" si="142"/>
        <v>0</v>
      </c>
      <c r="N317" s="115">
        <f t="shared" si="142"/>
        <v>0</v>
      </c>
      <c r="O317" s="115">
        <f t="shared" si="142"/>
        <v>0</v>
      </c>
      <c r="P317" s="115">
        <f t="shared" si="142"/>
        <v>0</v>
      </c>
      <c r="Q317" s="115">
        <f t="shared" si="142"/>
        <v>0</v>
      </c>
    </row>
    <row r="318" spans="1:17" s="36" customFormat="1" x14ac:dyDescent="0.25">
      <c r="A318" s="111">
        <f t="shared" si="143"/>
        <v>1300</v>
      </c>
      <c r="B318" s="111" t="str">
        <f t="shared" si="143"/>
        <v xml:space="preserve">DCI - High </v>
      </c>
      <c r="D318" s="115">
        <f t="shared" si="141"/>
        <v>75000</v>
      </c>
      <c r="F318" s="115" t="e">
        <f t="shared" si="142"/>
        <v>#REF!</v>
      </c>
      <c r="G318" s="115" t="e">
        <f t="shared" si="142"/>
        <v>#REF!</v>
      </c>
      <c r="H318" s="115" t="e">
        <f t="shared" si="142"/>
        <v>#REF!</v>
      </c>
      <c r="I318" s="115" t="e">
        <f t="shared" si="142"/>
        <v>#REF!</v>
      </c>
      <c r="J318" s="115" t="e">
        <f t="shared" si="142"/>
        <v>#REF!</v>
      </c>
      <c r="K318" s="115" t="e">
        <f t="shared" si="142"/>
        <v>#REF!</v>
      </c>
      <c r="L318" s="115" t="e">
        <f t="shared" si="142"/>
        <v>#REF!</v>
      </c>
      <c r="M318" s="115" t="e">
        <f t="shared" si="142"/>
        <v>#REF!</v>
      </c>
      <c r="N318" s="115" t="e">
        <f t="shared" si="142"/>
        <v>#REF!</v>
      </c>
      <c r="O318" s="115" t="e">
        <f t="shared" si="142"/>
        <v>#REF!</v>
      </c>
      <c r="P318" s="115" t="e">
        <f t="shared" si="142"/>
        <v>#REF!</v>
      </c>
      <c r="Q318" s="115" t="e">
        <f t="shared" si="142"/>
        <v>#REF!</v>
      </c>
    </row>
    <row r="319" spans="1:17" s="36" customFormat="1" x14ac:dyDescent="0.25">
      <c r="A319" s="111">
        <f t="shared" si="143"/>
        <v>2300</v>
      </c>
      <c r="B319" s="111" t="str">
        <f t="shared" si="143"/>
        <v>Dean of Culture - Elementary</v>
      </c>
      <c r="D319" s="115">
        <f t="shared" si="141"/>
        <v>60000</v>
      </c>
      <c r="F319" s="115">
        <f t="shared" si="142"/>
        <v>0</v>
      </c>
      <c r="G319" s="115">
        <f t="shared" si="142"/>
        <v>0</v>
      </c>
      <c r="H319" s="115">
        <f t="shared" si="142"/>
        <v>0</v>
      </c>
      <c r="I319" s="115">
        <f t="shared" si="142"/>
        <v>0</v>
      </c>
      <c r="J319" s="115">
        <f t="shared" si="142"/>
        <v>0</v>
      </c>
      <c r="K319" s="115">
        <f t="shared" si="142"/>
        <v>0</v>
      </c>
      <c r="L319" s="115">
        <f t="shared" si="142"/>
        <v>0</v>
      </c>
      <c r="M319" s="115">
        <f t="shared" si="142"/>
        <v>0</v>
      </c>
      <c r="N319" s="115">
        <f t="shared" si="142"/>
        <v>0</v>
      </c>
      <c r="O319" s="115">
        <f t="shared" si="142"/>
        <v>0</v>
      </c>
      <c r="P319" s="115">
        <f t="shared" si="142"/>
        <v>0</v>
      </c>
      <c r="Q319" s="115">
        <f t="shared" si="142"/>
        <v>0</v>
      </c>
    </row>
    <row r="320" spans="1:17" s="36" customFormat="1" x14ac:dyDescent="0.25">
      <c r="A320" s="111">
        <f t="shared" si="143"/>
        <v>2300</v>
      </c>
      <c r="B320" s="111" t="str">
        <f t="shared" si="143"/>
        <v>Dean of Culture - Middle</v>
      </c>
      <c r="D320" s="115">
        <f t="shared" si="141"/>
        <v>60000</v>
      </c>
      <c r="F320" s="115">
        <f t="shared" si="142"/>
        <v>0</v>
      </c>
      <c r="G320" s="115">
        <f t="shared" si="142"/>
        <v>0</v>
      </c>
      <c r="H320" s="115">
        <f t="shared" si="142"/>
        <v>0</v>
      </c>
      <c r="I320" s="115">
        <f t="shared" si="142"/>
        <v>0</v>
      </c>
      <c r="J320" s="115">
        <f t="shared" si="142"/>
        <v>0</v>
      </c>
      <c r="K320" s="115">
        <f t="shared" si="142"/>
        <v>0</v>
      </c>
      <c r="L320" s="115">
        <f t="shared" si="142"/>
        <v>0</v>
      </c>
      <c r="M320" s="115">
        <f t="shared" si="142"/>
        <v>0</v>
      </c>
      <c r="N320" s="115">
        <f t="shared" si="142"/>
        <v>0</v>
      </c>
      <c r="O320" s="115">
        <f t="shared" si="142"/>
        <v>0</v>
      </c>
      <c r="P320" s="115">
        <f t="shared" si="142"/>
        <v>0</v>
      </c>
      <c r="Q320" s="115">
        <f t="shared" si="142"/>
        <v>0</v>
      </c>
    </row>
    <row r="321" spans="1:17" s="36" customFormat="1" x14ac:dyDescent="0.25">
      <c r="A321" s="111">
        <f t="shared" si="143"/>
        <v>2300</v>
      </c>
      <c r="B321" s="111" t="str">
        <f t="shared" si="143"/>
        <v>Dean of Culture - High</v>
      </c>
      <c r="D321" s="115">
        <f t="shared" si="141"/>
        <v>60000</v>
      </c>
      <c r="F321" s="115" t="e">
        <f t="shared" si="142"/>
        <v>#REF!</v>
      </c>
      <c r="G321" s="115" t="e">
        <f t="shared" si="142"/>
        <v>#REF!</v>
      </c>
      <c r="H321" s="115" t="e">
        <f t="shared" si="142"/>
        <v>#REF!</v>
      </c>
      <c r="I321" s="115" t="e">
        <f t="shared" si="142"/>
        <v>#REF!</v>
      </c>
      <c r="J321" s="115" t="e">
        <f t="shared" si="142"/>
        <v>#REF!</v>
      </c>
      <c r="K321" s="115" t="e">
        <f t="shared" si="142"/>
        <v>#REF!</v>
      </c>
      <c r="L321" s="115" t="e">
        <f t="shared" si="142"/>
        <v>#REF!</v>
      </c>
      <c r="M321" s="115" t="e">
        <f t="shared" si="142"/>
        <v>#REF!</v>
      </c>
      <c r="N321" s="115" t="e">
        <f t="shared" si="142"/>
        <v>#REF!</v>
      </c>
      <c r="O321" s="115" t="e">
        <f t="shared" si="142"/>
        <v>#REF!</v>
      </c>
      <c r="P321" s="115" t="e">
        <f t="shared" si="142"/>
        <v>#REF!</v>
      </c>
      <c r="Q321" s="115" t="e">
        <f t="shared" si="142"/>
        <v>#REF!</v>
      </c>
    </row>
    <row r="322" spans="1:17" s="36" customFormat="1" x14ac:dyDescent="0.25">
      <c r="A322" s="111">
        <f t="shared" si="143"/>
        <v>2400</v>
      </c>
      <c r="B322" s="111" t="str">
        <f t="shared" si="143"/>
        <v>Parent Coordinator - Elementary</v>
      </c>
      <c r="D322" s="115">
        <f t="shared" si="141"/>
        <v>35000</v>
      </c>
      <c r="F322" s="115">
        <f t="shared" si="142"/>
        <v>0</v>
      </c>
      <c r="G322" s="115">
        <f t="shared" si="142"/>
        <v>0</v>
      </c>
      <c r="H322" s="115">
        <f t="shared" si="142"/>
        <v>0</v>
      </c>
      <c r="I322" s="115">
        <f t="shared" si="142"/>
        <v>0</v>
      </c>
      <c r="J322" s="115">
        <f t="shared" si="142"/>
        <v>0</v>
      </c>
      <c r="K322" s="115">
        <f t="shared" si="142"/>
        <v>0</v>
      </c>
      <c r="L322" s="115">
        <f t="shared" si="142"/>
        <v>0</v>
      </c>
      <c r="M322" s="115">
        <f t="shared" si="142"/>
        <v>0</v>
      </c>
      <c r="N322" s="115">
        <f t="shared" si="142"/>
        <v>0</v>
      </c>
      <c r="O322" s="115">
        <f t="shared" si="142"/>
        <v>0</v>
      </c>
      <c r="P322" s="115">
        <f t="shared" si="142"/>
        <v>0</v>
      </c>
      <c r="Q322" s="115">
        <f t="shared" si="142"/>
        <v>0</v>
      </c>
    </row>
    <row r="323" spans="1:17" s="36" customFormat="1" x14ac:dyDescent="0.25">
      <c r="A323" s="111">
        <f t="shared" si="143"/>
        <v>2400</v>
      </c>
      <c r="B323" s="111" t="str">
        <f t="shared" si="143"/>
        <v xml:space="preserve">Parent Coordinator - Middle </v>
      </c>
      <c r="D323" s="115">
        <f t="shared" si="141"/>
        <v>35000</v>
      </c>
      <c r="F323" s="115">
        <f t="shared" si="142"/>
        <v>0</v>
      </c>
      <c r="G323" s="115">
        <f t="shared" si="142"/>
        <v>0</v>
      </c>
      <c r="H323" s="115">
        <f t="shared" si="142"/>
        <v>0</v>
      </c>
      <c r="I323" s="115">
        <f t="shared" si="142"/>
        <v>0</v>
      </c>
      <c r="J323" s="115">
        <f t="shared" si="142"/>
        <v>0</v>
      </c>
      <c r="K323" s="115">
        <f t="shared" si="142"/>
        <v>0</v>
      </c>
      <c r="L323" s="115">
        <f t="shared" si="142"/>
        <v>0</v>
      </c>
      <c r="M323" s="115">
        <f t="shared" si="142"/>
        <v>0</v>
      </c>
      <c r="N323" s="115">
        <f t="shared" si="142"/>
        <v>0</v>
      </c>
      <c r="O323" s="115">
        <f t="shared" si="142"/>
        <v>0</v>
      </c>
      <c r="P323" s="115">
        <f t="shared" si="142"/>
        <v>0</v>
      </c>
      <c r="Q323" s="115">
        <f t="shared" si="142"/>
        <v>0</v>
      </c>
    </row>
    <row r="324" spans="1:17" s="36" customFormat="1" x14ac:dyDescent="0.25">
      <c r="A324" s="111">
        <f t="shared" si="143"/>
        <v>2400</v>
      </c>
      <c r="B324" s="111" t="str">
        <f t="shared" si="143"/>
        <v>Parent Coordinator - High</v>
      </c>
      <c r="D324" s="115">
        <f t="shared" si="141"/>
        <v>35000</v>
      </c>
      <c r="F324" s="115" t="e">
        <f t="shared" si="142"/>
        <v>#REF!</v>
      </c>
      <c r="G324" s="115" t="e">
        <f t="shared" si="142"/>
        <v>#REF!</v>
      </c>
      <c r="H324" s="115" t="e">
        <f t="shared" si="142"/>
        <v>#REF!</v>
      </c>
      <c r="I324" s="115" t="e">
        <f t="shared" si="142"/>
        <v>#REF!</v>
      </c>
      <c r="J324" s="115" t="e">
        <f t="shared" si="142"/>
        <v>#REF!</v>
      </c>
      <c r="K324" s="115" t="e">
        <f t="shared" si="142"/>
        <v>#REF!</v>
      </c>
      <c r="L324" s="115" t="e">
        <f t="shared" si="142"/>
        <v>#REF!</v>
      </c>
      <c r="M324" s="115" t="e">
        <f t="shared" si="142"/>
        <v>#REF!</v>
      </c>
      <c r="N324" s="115" t="e">
        <f t="shared" si="142"/>
        <v>#REF!</v>
      </c>
      <c r="O324" s="115" t="e">
        <f t="shared" si="142"/>
        <v>#REF!</v>
      </c>
      <c r="P324" s="115" t="e">
        <f t="shared" si="142"/>
        <v>#REF!</v>
      </c>
      <c r="Q324" s="115" t="e">
        <f t="shared" si="142"/>
        <v>#REF!</v>
      </c>
    </row>
    <row r="325" spans="1:17" s="36" customFormat="1" x14ac:dyDescent="0.25">
      <c r="A325" s="111">
        <f t="shared" si="143"/>
        <v>2400</v>
      </c>
      <c r="B325" s="111" t="str">
        <f t="shared" si="143"/>
        <v xml:space="preserve">Office Manager - Elementary </v>
      </c>
      <c r="D325" s="115">
        <f t="shared" si="141"/>
        <v>45000</v>
      </c>
      <c r="F325" s="115">
        <f t="shared" si="142"/>
        <v>0</v>
      </c>
      <c r="G325" s="115">
        <f t="shared" si="142"/>
        <v>0</v>
      </c>
      <c r="H325" s="115">
        <f t="shared" si="142"/>
        <v>0</v>
      </c>
      <c r="I325" s="115">
        <f t="shared" si="142"/>
        <v>0</v>
      </c>
      <c r="J325" s="115">
        <f t="shared" si="142"/>
        <v>0</v>
      </c>
      <c r="K325" s="115">
        <f t="shared" si="142"/>
        <v>0</v>
      </c>
      <c r="L325" s="115">
        <f t="shared" si="142"/>
        <v>0</v>
      </c>
      <c r="M325" s="115">
        <f t="shared" si="142"/>
        <v>0</v>
      </c>
      <c r="N325" s="115">
        <f t="shared" si="142"/>
        <v>0</v>
      </c>
      <c r="O325" s="115">
        <f t="shared" si="142"/>
        <v>0</v>
      </c>
      <c r="P325" s="115">
        <f t="shared" si="142"/>
        <v>0</v>
      </c>
      <c r="Q325" s="115">
        <f t="shared" si="142"/>
        <v>0</v>
      </c>
    </row>
    <row r="326" spans="1:17" s="36" customFormat="1" x14ac:dyDescent="0.25">
      <c r="A326" s="111">
        <f t="shared" si="143"/>
        <v>2400</v>
      </c>
      <c r="B326" s="111" t="str">
        <f t="shared" si="143"/>
        <v>Office Manager - Middle</v>
      </c>
      <c r="D326" s="115">
        <f t="shared" si="141"/>
        <v>45000</v>
      </c>
      <c r="F326" s="115">
        <f t="shared" si="142"/>
        <v>0</v>
      </c>
      <c r="G326" s="115">
        <f t="shared" si="142"/>
        <v>0</v>
      </c>
      <c r="H326" s="115">
        <f t="shared" si="142"/>
        <v>0</v>
      </c>
      <c r="I326" s="115">
        <f t="shared" si="142"/>
        <v>0</v>
      </c>
      <c r="J326" s="115">
        <f t="shared" si="142"/>
        <v>0</v>
      </c>
      <c r="K326" s="115">
        <f t="shared" si="142"/>
        <v>0</v>
      </c>
      <c r="L326" s="115">
        <f t="shared" si="142"/>
        <v>0</v>
      </c>
      <c r="M326" s="115">
        <f t="shared" si="142"/>
        <v>0</v>
      </c>
      <c r="N326" s="115">
        <f t="shared" si="142"/>
        <v>0</v>
      </c>
      <c r="O326" s="115">
        <f t="shared" si="142"/>
        <v>0</v>
      </c>
      <c r="P326" s="115">
        <f t="shared" si="142"/>
        <v>0</v>
      </c>
      <c r="Q326" s="115">
        <f t="shared" si="142"/>
        <v>0</v>
      </c>
    </row>
    <row r="327" spans="1:17" s="36" customFormat="1" x14ac:dyDescent="0.25">
      <c r="A327" s="111">
        <f t="shared" si="143"/>
        <v>2400</v>
      </c>
      <c r="B327" s="111" t="str">
        <f t="shared" si="143"/>
        <v>Office Manager - High</v>
      </c>
      <c r="D327" s="115">
        <f t="shared" si="141"/>
        <v>45000</v>
      </c>
      <c r="F327" s="115" t="e">
        <f t="shared" si="142"/>
        <v>#REF!</v>
      </c>
      <c r="G327" s="115" t="e">
        <f t="shared" si="142"/>
        <v>#REF!</v>
      </c>
      <c r="H327" s="115" t="e">
        <f t="shared" si="142"/>
        <v>#REF!</v>
      </c>
      <c r="I327" s="115" t="e">
        <f t="shared" si="142"/>
        <v>#REF!</v>
      </c>
      <c r="J327" s="115" t="e">
        <f t="shared" si="142"/>
        <v>#REF!</v>
      </c>
      <c r="K327" s="115" t="e">
        <f t="shared" si="142"/>
        <v>#REF!</v>
      </c>
      <c r="L327" s="115" t="e">
        <f t="shared" si="142"/>
        <v>#REF!</v>
      </c>
      <c r="M327" s="115" t="e">
        <f t="shared" si="142"/>
        <v>#REF!</v>
      </c>
      <c r="N327" s="115" t="e">
        <f t="shared" si="142"/>
        <v>#REF!</v>
      </c>
      <c r="O327" s="115" t="e">
        <f t="shared" si="142"/>
        <v>#REF!</v>
      </c>
      <c r="P327" s="115" t="e">
        <f t="shared" si="142"/>
        <v>#REF!</v>
      </c>
      <c r="Q327" s="115" t="e">
        <f t="shared" si="142"/>
        <v>#REF!</v>
      </c>
    </row>
    <row r="328" spans="1:17" s="36" customFormat="1" x14ac:dyDescent="0.25">
      <c r="A328" s="111">
        <f t="shared" si="143"/>
        <v>2400</v>
      </c>
      <c r="B328" s="111" t="str">
        <f t="shared" si="143"/>
        <v xml:space="preserve">Operations Manager - Elementary </v>
      </c>
      <c r="D328" s="115">
        <f t="shared" si="141"/>
        <v>60000</v>
      </c>
      <c r="F328" s="115">
        <f t="shared" si="142"/>
        <v>0</v>
      </c>
      <c r="G328" s="115">
        <f t="shared" si="142"/>
        <v>0</v>
      </c>
      <c r="H328" s="115">
        <f t="shared" si="142"/>
        <v>0</v>
      </c>
      <c r="I328" s="115">
        <f t="shared" si="142"/>
        <v>0</v>
      </c>
      <c r="J328" s="115">
        <f t="shared" si="142"/>
        <v>0</v>
      </c>
      <c r="K328" s="115">
        <f t="shared" si="142"/>
        <v>0</v>
      </c>
      <c r="L328" s="115">
        <f t="shared" si="142"/>
        <v>0</v>
      </c>
      <c r="M328" s="115">
        <f t="shared" si="142"/>
        <v>0</v>
      </c>
      <c r="N328" s="115">
        <f t="shared" si="142"/>
        <v>0</v>
      </c>
      <c r="O328" s="115">
        <f t="shared" si="142"/>
        <v>0</v>
      </c>
      <c r="P328" s="115">
        <f t="shared" si="142"/>
        <v>0</v>
      </c>
      <c r="Q328" s="115">
        <f t="shared" si="142"/>
        <v>0</v>
      </c>
    </row>
    <row r="329" spans="1:17" s="36" customFormat="1" x14ac:dyDescent="0.25">
      <c r="A329" s="111">
        <f t="shared" si="143"/>
        <v>2400</v>
      </c>
      <c r="B329" s="111" t="str">
        <f t="shared" si="143"/>
        <v>Operations Manager - Middle</v>
      </c>
      <c r="D329" s="115">
        <f t="shared" si="141"/>
        <v>60000</v>
      </c>
      <c r="F329" s="115">
        <f t="shared" si="142"/>
        <v>0</v>
      </c>
      <c r="G329" s="115">
        <f t="shared" si="142"/>
        <v>0</v>
      </c>
      <c r="H329" s="115">
        <f t="shared" si="142"/>
        <v>0</v>
      </c>
      <c r="I329" s="115">
        <f t="shared" si="142"/>
        <v>0</v>
      </c>
      <c r="J329" s="115">
        <f t="shared" si="142"/>
        <v>0</v>
      </c>
      <c r="K329" s="115">
        <f t="shared" si="142"/>
        <v>0</v>
      </c>
      <c r="L329" s="115">
        <f t="shared" si="142"/>
        <v>0</v>
      </c>
      <c r="M329" s="115">
        <f t="shared" si="142"/>
        <v>0</v>
      </c>
      <c r="N329" s="115">
        <f t="shared" si="142"/>
        <v>0</v>
      </c>
      <c r="O329" s="115">
        <f t="shared" si="142"/>
        <v>0</v>
      </c>
      <c r="P329" s="115">
        <f t="shared" si="142"/>
        <v>0</v>
      </c>
      <c r="Q329" s="115">
        <f t="shared" si="142"/>
        <v>0</v>
      </c>
    </row>
    <row r="330" spans="1:17" s="36" customFormat="1" x14ac:dyDescent="0.25">
      <c r="A330" s="111">
        <f t="shared" si="143"/>
        <v>2400</v>
      </c>
      <c r="B330" s="111" t="str">
        <f t="shared" si="143"/>
        <v>Operations Manager - High</v>
      </c>
      <c r="D330" s="115">
        <f t="shared" si="141"/>
        <v>60000</v>
      </c>
      <c r="F330" s="115" t="e">
        <f t="shared" si="142"/>
        <v>#REF!</v>
      </c>
      <c r="G330" s="115" t="e">
        <f t="shared" si="142"/>
        <v>#REF!</v>
      </c>
      <c r="H330" s="115" t="e">
        <f t="shared" si="142"/>
        <v>#REF!</v>
      </c>
      <c r="I330" s="115" t="e">
        <f t="shared" si="142"/>
        <v>#REF!</v>
      </c>
      <c r="J330" s="115" t="e">
        <f t="shared" si="142"/>
        <v>#REF!</v>
      </c>
      <c r="K330" s="115" t="e">
        <f t="shared" si="142"/>
        <v>#REF!</v>
      </c>
      <c r="L330" s="115" t="e">
        <f t="shared" si="142"/>
        <v>#REF!</v>
      </c>
      <c r="M330" s="115" t="e">
        <f t="shared" si="142"/>
        <v>#REF!</v>
      </c>
      <c r="N330" s="115" t="e">
        <f t="shared" si="142"/>
        <v>#REF!</v>
      </c>
      <c r="O330" s="115" t="e">
        <f t="shared" si="142"/>
        <v>#REF!</v>
      </c>
      <c r="P330" s="115" t="e">
        <f t="shared" si="142"/>
        <v>#REF!</v>
      </c>
      <c r="Q330" s="115" t="e">
        <f t="shared" si="142"/>
        <v>#REF!</v>
      </c>
    </row>
    <row r="331" spans="1:17" s="36" customFormat="1" x14ac:dyDescent="0.25">
      <c r="A331" s="111">
        <f t="shared" si="143"/>
        <v>2400</v>
      </c>
      <c r="B331" s="111" t="str">
        <f t="shared" si="143"/>
        <v>Administrative Assistant - Elementary</v>
      </c>
      <c r="D331" s="115">
        <f t="shared" si="141"/>
        <v>25000</v>
      </c>
      <c r="F331" s="115">
        <f t="shared" si="142"/>
        <v>0</v>
      </c>
      <c r="G331" s="115">
        <f t="shared" si="142"/>
        <v>0</v>
      </c>
      <c r="H331" s="115">
        <f t="shared" si="142"/>
        <v>0</v>
      </c>
      <c r="I331" s="115">
        <f t="shared" si="142"/>
        <v>0</v>
      </c>
      <c r="J331" s="115">
        <f t="shared" si="142"/>
        <v>0</v>
      </c>
      <c r="K331" s="115">
        <f t="shared" si="142"/>
        <v>0</v>
      </c>
      <c r="L331" s="115">
        <f t="shared" si="142"/>
        <v>0</v>
      </c>
      <c r="M331" s="115">
        <f t="shared" si="142"/>
        <v>0</v>
      </c>
      <c r="N331" s="115">
        <f t="shared" si="142"/>
        <v>0</v>
      </c>
      <c r="O331" s="115">
        <f t="shared" si="142"/>
        <v>0</v>
      </c>
      <c r="P331" s="115">
        <f t="shared" si="142"/>
        <v>0</v>
      </c>
      <c r="Q331" s="115">
        <f t="shared" si="142"/>
        <v>0</v>
      </c>
    </row>
    <row r="332" spans="1:17" s="36" customFormat="1" x14ac:dyDescent="0.25">
      <c r="A332" s="111">
        <f t="shared" si="143"/>
        <v>2400</v>
      </c>
      <c r="B332" s="111" t="str">
        <f t="shared" si="143"/>
        <v>Administrative Assistant - Middle</v>
      </c>
      <c r="D332" s="115">
        <f t="shared" si="141"/>
        <v>25000</v>
      </c>
      <c r="F332" s="115">
        <f t="shared" ref="F332:Q347" si="144">$D332*(1+E$5)*F204</f>
        <v>0</v>
      </c>
      <c r="G332" s="115">
        <f t="shared" si="144"/>
        <v>0</v>
      </c>
      <c r="H332" s="115">
        <f t="shared" si="144"/>
        <v>0</v>
      </c>
      <c r="I332" s="115">
        <f t="shared" si="144"/>
        <v>0</v>
      </c>
      <c r="J332" s="115">
        <f t="shared" si="144"/>
        <v>0</v>
      </c>
      <c r="K332" s="115">
        <f t="shared" si="144"/>
        <v>0</v>
      </c>
      <c r="L332" s="115">
        <f t="shared" si="144"/>
        <v>0</v>
      </c>
      <c r="M332" s="115">
        <f t="shared" si="144"/>
        <v>0</v>
      </c>
      <c r="N332" s="115">
        <f t="shared" si="144"/>
        <v>0</v>
      </c>
      <c r="O332" s="115">
        <f t="shared" si="144"/>
        <v>0</v>
      </c>
      <c r="P332" s="115">
        <f t="shared" si="144"/>
        <v>0</v>
      </c>
      <c r="Q332" s="115">
        <f t="shared" si="144"/>
        <v>0</v>
      </c>
    </row>
    <row r="333" spans="1:17" s="36" customFormat="1" x14ac:dyDescent="0.25">
      <c r="A333" s="111">
        <f t="shared" ref="A333:B348" si="145">A205</f>
        <v>2400</v>
      </c>
      <c r="B333" s="111" t="str">
        <f t="shared" si="145"/>
        <v>Administrative Assistant - High School</v>
      </c>
      <c r="D333" s="115">
        <f t="shared" si="141"/>
        <v>25000</v>
      </c>
      <c r="F333" s="115" t="e">
        <f t="shared" si="144"/>
        <v>#REF!</v>
      </c>
      <c r="G333" s="115" t="e">
        <f t="shared" si="144"/>
        <v>#REF!</v>
      </c>
      <c r="H333" s="115" t="e">
        <f t="shared" si="144"/>
        <v>#REF!</v>
      </c>
      <c r="I333" s="115" t="e">
        <f t="shared" si="144"/>
        <v>#REF!</v>
      </c>
      <c r="J333" s="115" t="e">
        <f t="shared" si="144"/>
        <v>#REF!</v>
      </c>
      <c r="K333" s="115" t="e">
        <f t="shared" si="144"/>
        <v>#REF!</v>
      </c>
      <c r="L333" s="115" t="e">
        <f t="shared" si="144"/>
        <v>#REF!</v>
      </c>
      <c r="M333" s="115" t="e">
        <f t="shared" si="144"/>
        <v>#REF!</v>
      </c>
      <c r="N333" s="115" t="e">
        <f t="shared" si="144"/>
        <v>#REF!</v>
      </c>
      <c r="O333" s="115" t="e">
        <f t="shared" si="144"/>
        <v>#REF!</v>
      </c>
      <c r="P333" s="115" t="e">
        <f t="shared" si="144"/>
        <v>#REF!</v>
      </c>
      <c r="Q333" s="115" t="e">
        <f t="shared" si="144"/>
        <v>#REF!</v>
      </c>
    </row>
    <row r="334" spans="1:17" s="36" customFormat="1" x14ac:dyDescent="0.25">
      <c r="A334" s="111">
        <f t="shared" si="145"/>
        <v>2400</v>
      </c>
      <c r="B334" s="111" t="str">
        <f t="shared" si="145"/>
        <v>Nurse</v>
      </c>
      <c r="D334" s="115">
        <f t="shared" si="141"/>
        <v>50000</v>
      </c>
      <c r="F334" s="115">
        <f t="shared" si="144"/>
        <v>0</v>
      </c>
      <c r="G334" s="115">
        <f t="shared" si="144"/>
        <v>0</v>
      </c>
      <c r="H334" s="115">
        <f t="shared" si="144"/>
        <v>0</v>
      </c>
      <c r="I334" s="115">
        <f t="shared" si="144"/>
        <v>0</v>
      </c>
      <c r="J334" s="115">
        <f t="shared" si="144"/>
        <v>0</v>
      </c>
      <c r="K334" s="115">
        <f t="shared" si="144"/>
        <v>0</v>
      </c>
      <c r="L334" s="115">
        <f t="shared" si="144"/>
        <v>0</v>
      </c>
      <c r="M334" s="115">
        <f t="shared" si="144"/>
        <v>0</v>
      </c>
      <c r="N334" s="115">
        <f t="shared" si="144"/>
        <v>0</v>
      </c>
      <c r="O334" s="115">
        <f t="shared" si="144"/>
        <v>0</v>
      </c>
      <c r="P334" s="115">
        <f t="shared" si="144"/>
        <v>0</v>
      </c>
      <c r="Q334" s="115">
        <f t="shared" si="144"/>
        <v>0</v>
      </c>
    </row>
    <row r="335" spans="1:17" s="36" customFormat="1" x14ac:dyDescent="0.25">
      <c r="A335" s="111">
        <f t="shared" si="145"/>
        <v>2400</v>
      </c>
      <c r="B335" s="111" t="str">
        <f t="shared" si="145"/>
        <v>Nurse</v>
      </c>
      <c r="D335" s="115">
        <f t="shared" si="141"/>
        <v>50000</v>
      </c>
      <c r="F335" s="115">
        <f t="shared" si="144"/>
        <v>0</v>
      </c>
      <c r="G335" s="115">
        <f t="shared" si="144"/>
        <v>0</v>
      </c>
      <c r="H335" s="115">
        <f t="shared" si="144"/>
        <v>0</v>
      </c>
      <c r="I335" s="115">
        <f t="shared" si="144"/>
        <v>0</v>
      </c>
      <c r="J335" s="115">
        <f t="shared" si="144"/>
        <v>0</v>
      </c>
      <c r="K335" s="115">
        <f t="shared" si="144"/>
        <v>0</v>
      </c>
      <c r="L335" s="115">
        <f t="shared" si="144"/>
        <v>0</v>
      </c>
      <c r="M335" s="115">
        <f t="shared" si="144"/>
        <v>0</v>
      </c>
      <c r="N335" s="115">
        <f t="shared" si="144"/>
        <v>0</v>
      </c>
      <c r="O335" s="115">
        <f t="shared" si="144"/>
        <v>0</v>
      </c>
      <c r="P335" s="115">
        <f t="shared" si="144"/>
        <v>0</v>
      </c>
      <c r="Q335" s="115">
        <f t="shared" si="144"/>
        <v>0</v>
      </c>
    </row>
    <row r="336" spans="1:17" s="36" customFormat="1" x14ac:dyDescent="0.25">
      <c r="A336" s="111">
        <f t="shared" si="145"/>
        <v>1300</v>
      </c>
      <c r="B336" s="111" t="str">
        <f t="shared" si="145"/>
        <v>School Counselor/Social Worker</v>
      </c>
      <c r="D336" s="115">
        <f t="shared" si="141"/>
        <v>55000</v>
      </c>
      <c r="F336" s="115" t="e">
        <f t="shared" si="144"/>
        <v>#REF!</v>
      </c>
      <c r="G336" s="115" t="e">
        <f t="shared" si="144"/>
        <v>#REF!</v>
      </c>
      <c r="H336" s="115" t="e">
        <f t="shared" si="144"/>
        <v>#REF!</v>
      </c>
      <c r="I336" s="115" t="e">
        <f t="shared" si="144"/>
        <v>#REF!</v>
      </c>
      <c r="J336" s="115" t="e">
        <f t="shared" si="144"/>
        <v>#REF!</v>
      </c>
      <c r="K336" s="115" t="e">
        <f t="shared" si="144"/>
        <v>#REF!</v>
      </c>
      <c r="L336" s="115" t="e">
        <f t="shared" si="144"/>
        <v>#REF!</v>
      </c>
      <c r="M336" s="115" t="e">
        <f t="shared" si="144"/>
        <v>#REF!</v>
      </c>
      <c r="N336" s="115" t="e">
        <f t="shared" si="144"/>
        <v>#REF!</v>
      </c>
      <c r="O336" s="115" t="e">
        <f t="shared" si="144"/>
        <v>#REF!</v>
      </c>
      <c r="P336" s="115" t="e">
        <f t="shared" si="144"/>
        <v>#REF!</v>
      </c>
      <c r="Q336" s="115" t="e">
        <f t="shared" si="144"/>
        <v>#REF!</v>
      </c>
    </row>
    <row r="337" spans="1:17" s="36" customFormat="1" x14ac:dyDescent="0.25">
      <c r="A337" s="111">
        <f t="shared" si="145"/>
        <v>1300</v>
      </c>
      <c r="B337" s="111" t="str">
        <f t="shared" si="145"/>
        <v xml:space="preserve">School Psychologist (when MS comes on) </v>
      </c>
      <c r="D337" s="115">
        <f t="shared" si="141"/>
        <v>80000</v>
      </c>
      <c r="F337" s="115">
        <f t="shared" si="144"/>
        <v>0</v>
      </c>
      <c r="G337" s="115">
        <f t="shared" si="144"/>
        <v>0</v>
      </c>
      <c r="H337" s="115">
        <f t="shared" si="144"/>
        <v>0</v>
      </c>
      <c r="I337" s="115">
        <f t="shared" si="144"/>
        <v>0</v>
      </c>
      <c r="J337" s="115">
        <f t="shared" si="144"/>
        <v>0</v>
      </c>
      <c r="K337" s="115">
        <f t="shared" si="144"/>
        <v>0</v>
      </c>
      <c r="L337" s="115">
        <f t="shared" si="144"/>
        <v>0</v>
      </c>
      <c r="M337" s="115">
        <f t="shared" si="144"/>
        <v>0</v>
      </c>
      <c r="N337" s="115">
        <f t="shared" si="144"/>
        <v>0</v>
      </c>
      <c r="O337" s="115">
        <f t="shared" si="144"/>
        <v>0</v>
      </c>
      <c r="P337" s="115">
        <f t="shared" si="144"/>
        <v>0</v>
      </c>
      <c r="Q337" s="115">
        <f t="shared" si="144"/>
        <v>0</v>
      </c>
    </row>
    <row r="338" spans="1:17" s="36" customFormat="1" x14ac:dyDescent="0.25">
      <c r="A338" s="111">
        <f t="shared" si="145"/>
        <v>1300</v>
      </c>
      <c r="B338" s="111" t="str">
        <f t="shared" si="145"/>
        <v>School Psychologist - HS</v>
      </c>
      <c r="D338" s="115">
        <f t="shared" si="141"/>
        <v>80000</v>
      </c>
      <c r="F338" s="115" t="e">
        <f t="shared" si="144"/>
        <v>#REF!</v>
      </c>
      <c r="G338" s="115" t="e">
        <f t="shared" si="144"/>
        <v>#REF!</v>
      </c>
      <c r="H338" s="115" t="e">
        <f t="shared" si="144"/>
        <v>#REF!</v>
      </c>
      <c r="I338" s="115" t="e">
        <f t="shared" si="144"/>
        <v>#REF!</v>
      </c>
      <c r="J338" s="115" t="e">
        <f t="shared" si="144"/>
        <v>#REF!</v>
      </c>
      <c r="K338" s="115" t="e">
        <f t="shared" si="144"/>
        <v>#REF!</v>
      </c>
      <c r="L338" s="115" t="e">
        <f t="shared" si="144"/>
        <v>#REF!</v>
      </c>
      <c r="M338" s="115" t="e">
        <f t="shared" si="144"/>
        <v>#REF!</v>
      </c>
      <c r="N338" s="115" t="e">
        <f t="shared" si="144"/>
        <v>#REF!</v>
      </c>
      <c r="O338" s="115" t="e">
        <f t="shared" si="144"/>
        <v>#REF!</v>
      </c>
      <c r="P338" s="115" t="e">
        <f t="shared" si="144"/>
        <v>#REF!</v>
      </c>
      <c r="Q338" s="115" t="e">
        <f t="shared" si="144"/>
        <v>#REF!</v>
      </c>
    </row>
    <row r="339" spans="1:17" s="36" customFormat="1" x14ac:dyDescent="0.25">
      <c r="A339" s="111">
        <f t="shared" si="145"/>
        <v>1300</v>
      </c>
      <c r="B339" s="111" t="str">
        <f t="shared" si="145"/>
        <v xml:space="preserve">College Counselor - HS </v>
      </c>
      <c r="D339" s="115">
        <f t="shared" si="141"/>
        <v>50000</v>
      </c>
      <c r="F339" s="115" t="e">
        <f t="shared" si="144"/>
        <v>#REF!</v>
      </c>
      <c r="G339" s="115" t="e">
        <f t="shared" si="144"/>
        <v>#REF!</v>
      </c>
      <c r="H339" s="115" t="e">
        <f t="shared" si="144"/>
        <v>#REF!</v>
      </c>
      <c r="I339" s="115" t="e">
        <f t="shared" si="144"/>
        <v>#REF!</v>
      </c>
      <c r="J339" s="115" t="e">
        <f t="shared" si="144"/>
        <v>#REF!</v>
      </c>
      <c r="K339" s="115" t="e">
        <f t="shared" si="144"/>
        <v>#REF!</v>
      </c>
      <c r="L339" s="115" t="e">
        <f t="shared" si="144"/>
        <v>#REF!</v>
      </c>
      <c r="M339" s="115" t="e">
        <f t="shared" si="144"/>
        <v>#REF!</v>
      </c>
      <c r="N339" s="115" t="e">
        <f t="shared" si="144"/>
        <v>#REF!</v>
      </c>
      <c r="O339" s="115" t="e">
        <f t="shared" si="144"/>
        <v>#REF!</v>
      </c>
      <c r="P339" s="115" t="e">
        <f t="shared" si="144"/>
        <v>#REF!</v>
      </c>
      <c r="Q339" s="115" t="e">
        <f t="shared" si="144"/>
        <v>#REF!</v>
      </c>
    </row>
    <row r="340" spans="1:17" s="36" customFormat="1" x14ac:dyDescent="0.25">
      <c r="A340" s="111">
        <f t="shared" si="145"/>
        <v>1110</v>
      </c>
      <c r="B340" s="111" t="str">
        <f t="shared" si="145"/>
        <v>Kindergarten Teacher</v>
      </c>
      <c r="D340" s="115">
        <f t="shared" si="141"/>
        <v>52000</v>
      </c>
      <c r="F340" s="115">
        <f t="shared" si="144"/>
        <v>0</v>
      </c>
      <c r="G340" s="115">
        <f t="shared" si="144"/>
        <v>0</v>
      </c>
      <c r="H340" s="115">
        <f t="shared" si="144"/>
        <v>0</v>
      </c>
      <c r="I340" s="115">
        <f t="shared" si="144"/>
        <v>0</v>
      </c>
      <c r="J340" s="115">
        <f t="shared" si="144"/>
        <v>0</v>
      </c>
      <c r="K340" s="115">
        <f t="shared" si="144"/>
        <v>0</v>
      </c>
      <c r="L340" s="115">
        <f t="shared" si="144"/>
        <v>0</v>
      </c>
      <c r="M340" s="115">
        <f t="shared" si="144"/>
        <v>0</v>
      </c>
      <c r="N340" s="115">
        <f t="shared" si="144"/>
        <v>0</v>
      </c>
      <c r="O340" s="115">
        <f t="shared" si="144"/>
        <v>0</v>
      </c>
      <c r="P340" s="115">
        <f t="shared" si="144"/>
        <v>0</v>
      </c>
      <c r="Q340" s="115">
        <f t="shared" si="144"/>
        <v>0</v>
      </c>
    </row>
    <row r="341" spans="1:17" s="36" customFormat="1" x14ac:dyDescent="0.25">
      <c r="A341" s="111">
        <f t="shared" si="145"/>
        <v>1110</v>
      </c>
      <c r="B341" s="111" t="str">
        <f t="shared" si="145"/>
        <v>Kindergarten Teacher</v>
      </c>
      <c r="D341" s="115">
        <f t="shared" si="141"/>
        <v>52000</v>
      </c>
      <c r="F341" s="115">
        <f t="shared" si="144"/>
        <v>0</v>
      </c>
      <c r="G341" s="115">
        <f t="shared" si="144"/>
        <v>0</v>
      </c>
      <c r="H341" s="115">
        <f t="shared" si="144"/>
        <v>0</v>
      </c>
      <c r="I341" s="115">
        <f t="shared" si="144"/>
        <v>0</v>
      </c>
      <c r="J341" s="115">
        <f t="shared" si="144"/>
        <v>0</v>
      </c>
      <c r="K341" s="115">
        <f t="shared" si="144"/>
        <v>0</v>
      </c>
      <c r="L341" s="115">
        <f t="shared" si="144"/>
        <v>0</v>
      </c>
      <c r="M341" s="115">
        <f t="shared" si="144"/>
        <v>0</v>
      </c>
      <c r="N341" s="115">
        <f t="shared" si="144"/>
        <v>0</v>
      </c>
      <c r="O341" s="115">
        <f t="shared" si="144"/>
        <v>0</v>
      </c>
      <c r="P341" s="115">
        <f t="shared" si="144"/>
        <v>0</v>
      </c>
      <c r="Q341" s="115">
        <f t="shared" si="144"/>
        <v>0</v>
      </c>
    </row>
    <row r="342" spans="1:17" s="36" customFormat="1" x14ac:dyDescent="0.25">
      <c r="A342" s="111">
        <f t="shared" si="145"/>
        <v>1110</v>
      </c>
      <c r="B342" s="111" t="str">
        <f t="shared" si="145"/>
        <v>Kindergarten Teacher</v>
      </c>
      <c r="D342" s="115">
        <f t="shared" si="141"/>
        <v>52000</v>
      </c>
      <c r="F342" s="115">
        <f t="shared" si="144"/>
        <v>0</v>
      </c>
      <c r="G342" s="115">
        <f t="shared" si="144"/>
        <v>0</v>
      </c>
      <c r="H342" s="115">
        <f t="shared" si="144"/>
        <v>0</v>
      </c>
      <c r="I342" s="115">
        <f t="shared" si="144"/>
        <v>0</v>
      </c>
      <c r="J342" s="115">
        <f t="shared" si="144"/>
        <v>0</v>
      </c>
      <c r="K342" s="115">
        <f t="shared" si="144"/>
        <v>0</v>
      </c>
      <c r="L342" s="115">
        <f t="shared" si="144"/>
        <v>0</v>
      </c>
      <c r="M342" s="115">
        <f t="shared" si="144"/>
        <v>0</v>
      </c>
      <c r="N342" s="115">
        <f t="shared" si="144"/>
        <v>0</v>
      </c>
      <c r="O342" s="115">
        <f t="shared" si="144"/>
        <v>0</v>
      </c>
      <c r="P342" s="115">
        <f t="shared" si="144"/>
        <v>0</v>
      </c>
      <c r="Q342" s="115">
        <f t="shared" si="144"/>
        <v>0</v>
      </c>
    </row>
    <row r="343" spans="1:17" s="36" customFormat="1" x14ac:dyDescent="0.25">
      <c r="A343" s="111">
        <f t="shared" si="145"/>
        <v>1110</v>
      </c>
      <c r="B343" s="111" t="str">
        <f t="shared" si="145"/>
        <v>Kindergarten Teacher</v>
      </c>
      <c r="D343" s="115">
        <f t="shared" si="141"/>
        <v>52000</v>
      </c>
      <c r="F343" s="115">
        <f t="shared" si="144"/>
        <v>0</v>
      </c>
      <c r="G343" s="115">
        <f t="shared" si="144"/>
        <v>0</v>
      </c>
      <c r="H343" s="115">
        <f t="shared" si="144"/>
        <v>0</v>
      </c>
      <c r="I343" s="115">
        <f t="shared" si="144"/>
        <v>0</v>
      </c>
      <c r="J343" s="115">
        <f t="shared" si="144"/>
        <v>0</v>
      </c>
      <c r="K343" s="115">
        <f t="shared" si="144"/>
        <v>0</v>
      </c>
      <c r="L343" s="115">
        <f t="shared" si="144"/>
        <v>0</v>
      </c>
      <c r="M343" s="115">
        <f t="shared" si="144"/>
        <v>0</v>
      </c>
      <c r="N343" s="115">
        <f t="shared" si="144"/>
        <v>0</v>
      </c>
      <c r="O343" s="115">
        <f t="shared" si="144"/>
        <v>0</v>
      </c>
      <c r="P343" s="115">
        <f t="shared" si="144"/>
        <v>0</v>
      </c>
      <c r="Q343" s="115">
        <f t="shared" si="144"/>
        <v>0</v>
      </c>
    </row>
    <row r="344" spans="1:17" s="36" customFormat="1" x14ac:dyDescent="0.25">
      <c r="A344" s="111">
        <f t="shared" si="145"/>
        <v>1110</v>
      </c>
      <c r="B344" s="111" t="str">
        <f t="shared" si="145"/>
        <v>Kindergarten Teacher</v>
      </c>
      <c r="D344" s="115">
        <f t="shared" si="141"/>
        <v>52000</v>
      </c>
      <c r="F344" s="115">
        <f t="shared" si="144"/>
        <v>0</v>
      </c>
      <c r="G344" s="115">
        <f t="shared" si="144"/>
        <v>0</v>
      </c>
      <c r="H344" s="115">
        <f t="shared" si="144"/>
        <v>0</v>
      </c>
      <c r="I344" s="115">
        <f t="shared" si="144"/>
        <v>0</v>
      </c>
      <c r="J344" s="115">
        <f t="shared" si="144"/>
        <v>0</v>
      </c>
      <c r="K344" s="115">
        <f t="shared" si="144"/>
        <v>0</v>
      </c>
      <c r="L344" s="115">
        <f t="shared" si="144"/>
        <v>0</v>
      </c>
      <c r="M344" s="115">
        <f t="shared" si="144"/>
        <v>0</v>
      </c>
      <c r="N344" s="115">
        <f t="shared" si="144"/>
        <v>0</v>
      </c>
      <c r="O344" s="115">
        <f t="shared" si="144"/>
        <v>0</v>
      </c>
      <c r="P344" s="115">
        <f t="shared" si="144"/>
        <v>0</v>
      </c>
      <c r="Q344" s="115">
        <f t="shared" si="144"/>
        <v>0</v>
      </c>
    </row>
    <row r="345" spans="1:17" s="36" customFormat="1" x14ac:dyDescent="0.25">
      <c r="A345" s="111">
        <f t="shared" si="145"/>
        <v>1110</v>
      </c>
      <c r="B345" s="111" t="str">
        <f t="shared" si="145"/>
        <v>1st Grade Teacher</v>
      </c>
      <c r="D345" s="115">
        <f t="shared" si="141"/>
        <v>52000</v>
      </c>
      <c r="F345" s="115">
        <f t="shared" si="144"/>
        <v>0</v>
      </c>
      <c r="G345" s="115">
        <f t="shared" si="144"/>
        <v>0</v>
      </c>
      <c r="H345" s="115">
        <f t="shared" si="144"/>
        <v>0</v>
      </c>
      <c r="I345" s="115">
        <f t="shared" si="144"/>
        <v>0</v>
      </c>
      <c r="J345" s="115">
        <f t="shared" si="144"/>
        <v>0</v>
      </c>
      <c r="K345" s="115">
        <f t="shared" si="144"/>
        <v>0</v>
      </c>
      <c r="L345" s="115">
        <f t="shared" si="144"/>
        <v>0</v>
      </c>
      <c r="M345" s="115">
        <f t="shared" si="144"/>
        <v>0</v>
      </c>
      <c r="N345" s="115">
        <f t="shared" si="144"/>
        <v>0</v>
      </c>
      <c r="O345" s="115">
        <f t="shared" si="144"/>
        <v>0</v>
      </c>
      <c r="P345" s="115">
        <f t="shared" si="144"/>
        <v>0</v>
      </c>
      <c r="Q345" s="115">
        <f t="shared" si="144"/>
        <v>0</v>
      </c>
    </row>
    <row r="346" spans="1:17" s="36" customFormat="1" x14ac:dyDescent="0.25">
      <c r="A346" s="111">
        <f t="shared" si="145"/>
        <v>1110</v>
      </c>
      <c r="B346" s="111" t="str">
        <f t="shared" si="145"/>
        <v>1st Grade Teacher</v>
      </c>
      <c r="D346" s="115">
        <f t="shared" si="141"/>
        <v>52000</v>
      </c>
      <c r="F346" s="115">
        <f t="shared" si="144"/>
        <v>0</v>
      </c>
      <c r="G346" s="115">
        <f t="shared" si="144"/>
        <v>0</v>
      </c>
      <c r="H346" s="115">
        <f t="shared" si="144"/>
        <v>0</v>
      </c>
      <c r="I346" s="115">
        <f t="shared" si="144"/>
        <v>0</v>
      </c>
      <c r="J346" s="115">
        <f t="shared" si="144"/>
        <v>0</v>
      </c>
      <c r="K346" s="115">
        <f t="shared" si="144"/>
        <v>0</v>
      </c>
      <c r="L346" s="115">
        <f t="shared" si="144"/>
        <v>0</v>
      </c>
      <c r="M346" s="115">
        <f t="shared" si="144"/>
        <v>0</v>
      </c>
      <c r="N346" s="115">
        <f t="shared" si="144"/>
        <v>0</v>
      </c>
      <c r="O346" s="115">
        <f t="shared" si="144"/>
        <v>0</v>
      </c>
      <c r="P346" s="115">
        <f t="shared" si="144"/>
        <v>0</v>
      </c>
      <c r="Q346" s="115">
        <f t="shared" si="144"/>
        <v>0</v>
      </c>
    </row>
    <row r="347" spans="1:17" s="36" customFormat="1" x14ac:dyDescent="0.25">
      <c r="A347" s="111">
        <f t="shared" si="145"/>
        <v>1110</v>
      </c>
      <c r="B347" s="111" t="str">
        <f t="shared" si="145"/>
        <v>1st Grade Teacher</v>
      </c>
      <c r="D347" s="115">
        <f t="shared" si="141"/>
        <v>52000</v>
      </c>
      <c r="F347" s="115">
        <f t="shared" si="144"/>
        <v>0</v>
      </c>
      <c r="G347" s="115">
        <f t="shared" si="144"/>
        <v>0</v>
      </c>
      <c r="H347" s="115">
        <f t="shared" si="144"/>
        <v>0</v>
      </c>
      <c r="I347" s="115">
        <f t="shared" si="144"/>
        <v>0</v>
      </c>
      <c r="J347" s="115">
        <f t="shared" si="144"/>
        <v>0</v>
      </c>
      <c r="K347" s="115">
        <f t="shared" si="144"/>
        <v>0</v>
      </c>
      <c r="L347" s="115">
        <f t="shared" si="144"/>
        <v>0</v>
      </c>
      <c r="M347" s="115">
        <f t="shared" si="144"/>
        <v>0</v>
      </c>
      <c r="N347" s="115">
        <f t="shared" si="144"/>
        <v>0</v>
      </c>
      <c r="O347" s="115">
        <f t="shared" si="144"/>
        <v>0</v>
      </c>
      <c r="P347" s="115">
        <f t="shared" si="144"/>
        <v>0</v>
      </c>
      <c r="Q347" s="115">
        <f t="shared" si="144"/>
        <v>0</v>
      </c>
    </row>
    <row r="348" spans="1:17" s="36" customFormat="1" x14ac:dyDescent="0.25">
      <c r="A348" s="111">
        <f t="shared" si="145"/>
        <v>1110</v>
      </c>
      <c r="B348" s="111" t="str">
        <f t="shared" si="145"/>
        <v>1st Grade Teacher</v>
      </c>
      <c r="D348" s="115">
        <f t="shared" si="141"/>
        <v>52000</v>
      </c>
      <c r="F348" s="115">
        <f t="shared" ref="F348:Q363" si="146">$D348*(1+E$5)*F220</f>
        <v>0</v>
      </c>
      <c r="G348" s="115">
        <f t="shared" si="146"/>
        <v>0</v>
      </c>
      <c r="H348" s="115">
        <f t="shared" si="146"/>
        <v>0</v>
      </c>
      <c r="I348" s="115">
        <f t="shared" si="146"/>
        <v>0</v>
      </c>
      <c r="J348" s="115">
        <f t="shared" si="146"/>
        <v>0</v>
      </c>
      <c r="K348" s="115">
        <f t="shared" si="146"/>
        <v>0</v>
      </c>
      <c r="L348" s="115">
        <f t="shared" si="146"/>
        <v>0</v>
      </c>
      <c r="M348" s="115">
        <f t="shared" si="146"/>
        <v>0</v>
      </c>
      <c r="N348" s="115">
        <f t="shared" si="146"/>
        <v>0</v>
      </c>
      <c r="O348" s="115">
        <f t="shared" si="146"/>
        <v>0</v>
      </c>
      <c r="P348" s="115">
        <f t="shared" si="146"/>
        <v>0</v>
      </c>
      <c r="Q348" s="115">
        <f t="shared" si="146"/>
        <v>0</v>
      </c>
    </row>
    <row r="349" spans="1:17" s="36" customFormat="1" x14ac:dyDescent="0.25">
      <c r="A349" s="111">
        <f t="shared" ref="A349:B364" si="147">A221</f>
        <v>1110</v>
      </c>
      <c r="B349" s="111" t="str">
        <f t="shared" si="147"/>
        <v>1st Grade Teacher</v>
      </c>
      <c r="D349" s="115">
        <f t="shared" si="141"/>
        <v>52000</v>
      </c>
      <c r="F349" s="115">
        <f t="shared" si="146"/>
        <v>0</v>
      </c>
      <c r="G349" s="115">
        <f t="shared" si="146"/>
        <v>0</v>
      </c>
      <c r="H349" s="115">
        <f t="shared" si="146"/>
        <v>0</v>
      </c>
      <c r="I349" s="115">
        <f t="shared" si="146"/>
        <v>0</v>
      </c>
      <c r="J349" s="115">
        <f t="shared" si="146"/>
        <v>0</v>
      </c>
      <c r="K349" s="115">
        <f t="shared" si="146"/>
        <v>0</v>
      </c>
      <c r="L349" s="115">
        <f t="shared" si="146"/>
        <v>0</v>
      </c>
      <c r="M349" s="115">
        <f t="shared" si="146"/>
        <v>0</v>
      </c>
      <c r="N349" s="115">
        <f t="shared" si="146"/>
        <v>0</v>
      </c>
      <c r="O349" s="115">
        <f t="shared" si="146"/>
        <v>0</v>
      </c>
      <c r="P349" s="115">
        <f t="shared" si="146"/>
        <v>0</v>
      </c>
      <c r="Q349" s="115">
        <f t="shared" si="146"/>
        <v>0</v>
      </c>
    </row>
    <row r="350" spans="1:17" s="36" customFormat="1" x14ac:dyDescent="0.25">
      <c r="A350" s="111">
        <f t="shared" si="147"/>
        <v>1110</v>
      </c>
      <c r="B350" s="111" t="str">
        <f t="shared" si="147"/>
        <v>2nd Grade Teacher</v>
      </c>
      <c r="D350" s="115">
        <f t="shared" si="141"/>
        <v>52000</v>
      </c>
      <c r="F350" s="115">
        <f t="shared" si="146"/>
        <v>0</v>
      </c>
      <c r="G350" s="115">
        <f t="shared" si="146"/>
        <v>0</v>
      </c>
      <c r="H350" s="115">
        <f t="shared" si="146"/>
        <v>0</v>
      </c>
      <c r="I350" s="115">
        <f t="shared" si="146"/>
        <v>0</v>
      </c>
      <c r="J350" s="115">
        <f t="shared" si="146"/>
        <v>0</v>
      </c>
      <c r="K350" s="115">
        <f t="shared" si="146"/>
        <v>0</v>
      </c>
      <c r="L350" s="115">
        <f t="shared" si="146"/>
        <v>0</v>
      </c>
      <c r="M350" s="115">
        <f t="shared" si="146"/>
        <v>0</v>
      </c>
      <c r="N350" s="115">
        <f t="shared" si="146"/>
        <v>0</v>
      </c>
      <c r="O350" s="115">
        <f t="shared" si="146"/>
        <v>0</v>
      </c>
      <c r="P350" s="115">
        <f t="shared" si="146"/>
        <v>0</v>
      </c>
      <c r="Q350" s="115">
        <f t="shared" si="146"/>
        <v>0</v>
      </c>
    </row>
    <row r="351" spans="1:17" s="36" customFormat="1" x14ac:dyDescent="0.25">
      <c r="A351" s="111">
        <f t="shared" si="147"/>
        <v>1110</v>
      </c>
      <c r="B351" s="111" t="str">
        <f t="shared" si="147"/>
        <v>2nd Grade Teacher</v>
      </c>
      <c r="D351" s="115">
        <f t="shared" si="141"/>
        <v>52000</v>
      </c>
      <c r="F351" s="115">
        <f t="shared" si="146"/>
        <v>0</v>
      </c>
      <c r="G351" s="115">
        <f t="shared" si="146"/>
        <v>0</v>
      </c>
      <c r="H351" s="115">
        <f t="shared" si="146"/>
        <v>0</v>
      </c>
      <c r="I351" s="115">
        <f t="shared" si="146"/>
        <v>0</v>
      </c>
      <c r="J351" s="115">
        <f t="shared" si="146"/>
        <v>0</v>
      </c>
      <c r="K351" s="115">
        <f t="shared" si="146"/>
        <v>0</v>
      </c>
      <c r="L351" s="115">
        <f t="shared" si="146"/>
        <v>0</v>
      </c>
      <c r="M351" s="115">
        <f t="shared" si="146"/>
        <v>0</v>
      </c>
      <c r="N351" s="115">
        <f t="shared" si="146"/>
        <v>0</v>
      </c>
      <c r="O351" s="115">
        <f t="shared" si="146"/>
        <v>0</v>
      </c>
      <c r="P351" s="115">
        <f t="shared" si="146"/>
        <v>0</v>
      </c>
      <c r="Q351" s="115">
        <f t="shared" si="146"/>
        <v>0</v>
      </c>
    </row>
    <row r="352" spans="1:17" s="36" customFormat="1" x14ac:dyDescent="0.25">
      <c r="A352" s="111">
        <f t="shared" si="147"/>
        <v>1110</v>
      </c>
      <c r="B352" s="111" t="str">
        <f t="shared" si="147"/>
        <v>2nd Grade Teacher</v>
      </c>
      <c r="D352" s="115">
        <f t="shared" si="141"/>
        <v>52000</v>
      </c>
      <c r="F352" s="115">
        <f t="shared" si="146"/>
        <v>0</v>
      </c>
      <c r="G352" s="115">
        <f t="shared" si="146"/>
        <v>0</v>
      </c>
      <c r="H352" s="115">
        <f t="shared" si="146"/>
        <v>0</v>
      </c>
      <c r="I352" s="115">
        <f t="shared" si="146"/>
        <v>0</v>
      </c>
      <c r="J352" s="115">
        <f t="shared" si="146"/>
        <v>0</v>
      </c>
      <c r="K352" s="115">
        <f t="shared" si="146"/>
        <v>0</v>
      </c>
      <c r="L352" s="115">
        <f t="shared" si="146"/>
        <v>0</v>
      </c>
      <c r="M352" s="115">
        <f t="shared" si="146"/>
        <v>0</v>
      </c>
      <c r="N352" s="115">
        <f t="shared" si="146"/>
        <v>0</v>
      </c>
      <c r="O352" s="115">
        <f t="shared" si="146"/>
        <v>0</v>
      </c>
      <c r="P352" s="115">
        <f t="shared" si="146"/>
        <v>0</v>
      </c>
      <c r="Q352" s="115">
        <f t="shared" si="146"/>
        <v>0</v>
      </c>
    </row>
    <row r="353" spans="1:17" s="36" customFormat="1" x14ac:dyDescent="0.25">
      <c r="A353" s="111">
        <f t="shared" si="147"/>
        <v>1110</v>
      </c>
      <c r="B353" s="111" t="str">
        <f t="shared" si="147"/>
        <v>2nd Grade Teacher</v>
      </c>
      <c r="D353" s="115">
        <f t="shared" si="141"/>
        <v>52000</v>
      </c>
      <c r="F353" s="115">
        <f t="shared" si="146"/>
        <v>0</v>
      </c>
      <c r="G353" s="115">
        <f t="shared" si="146"/>
        <v>0</v>
      </c>
      <c r="H353" s="115">
        <f t="shared" si="146"/>
        <v>0</v>
      </c>
      <c r="I353" s="115">
        <f t="shared" si="146"/>
        <v>0</v>
      </c>
      <c r="J353" s="115">
        <f t="shared" si="146"/>
        <v>0</v>
      </c>
      <c r="K353" s="115">
        <f t="shared" si="146"/>
        <v>0</v>
      </c>
      <c r="L353" s="115">
        <f t="shared" si="146"/>
        <v>0</v>
      </c>
      <c r="M353" s="115">
        <f t="shared" si="146"/>
        <v>0</v>
      </c>
      <c r="N353" s="115">
        <f t="shared" si="146"/>
        <v>0</v>
      </c>
      <c r="O353" s="115">
        <f t="shared" si="146"/>
        <v>0</v>
      </c>
      <c r="P353" s="115">
        <f t="shared" si="146"/>
        <v>0</v>
      </c>
      <c r="Q353" s="115">
        <f t="shared" si="146"/>
        <v>0</v>
      </c>
    </row>
    <row r="354" spans="1:17" s="36" customFormat="1" x14ac:dyDescent="0.25">
      <c r="A354" s="111">
        <f t="shared" si="147"/>
        <v>1110</v>
      </c>
      <c r="B354" s="111" t="str">
        <f t="shared" si="147"/>
        <v>2nd Grade Teacher</v>
      </c>
      <c r="D354" s="115">
        <f t="shared" si="141"/>
        <v>52000</v>
      </c>
      <c r="F354" s="115">
        <f t="shared" si="146"/>
        <v>0</v>
      </c>
      <c r="G354" s="115">
        <f t="shared" si="146"/>
        <v>0</v>
      </c>
      <c r="H354" s="115">
        <f t="shared" si="146"/>
        <v>0</v>
      </c>
      <c r="I354" s="115">
        <f t="shared" si="146"/>
        <v>0</v>
      </c>
      <c r="J354" s="115">
        <f t="shared" si="146"/>
        <v>0</v>
      </c>
      <c r="K354" s="115">
        <f t="shared" si="146"/>
        <v>0</v>
      </c>
      <c r="L354" s="115">
        <f t="shared" si="146"/>
        <v>0</v>
      </c>
      <c r="M354" s="115">
        <f t="shared" si="146"/>
        <v>0</v>
      </c>
      <c r="N354" s="115">
        <f t="shared" si="146"/>
        <v>0</v>
      </c>
      <c r="O354" s="115">
        <f t="shared" si="146"/>
        <v>0</v>
      </c>
      <c r="P354" s="115">
        <f t="shared" si="146"/>
        <v>0</v>
      </c>
      <c r="Q354" s="115">
        <f t="shared" si="146"/>
        <v>0</v>
      </c>
    </row>
    <row r="355" spans="1:17" s="36" customFormat="1" x14ac:dyDescent="0.25">
      <c r="A355" s="111">
        <f t="shared" si="147"/>
        <v>1110</v>
      </c>
      <c r="B355" s="111" t="str">
        <f t="shared" si="147"/>
        <v>3rd Grade Teacher</v>
      </c>
      <c r="D355" s="115">
        <f t="shared" si="141"/>
        <v>52000</v>
      </c>
      <c r="F355" s="115">
        <f t="shared" si="146"/>
        <v>0</v>
      </c>
      <c r="G355" s="115">
        <f t="shared" si="146"/>
        <v>0</v>
      </c>
      <c r="H355" s="115">
        <f t="shared" si="146"/>
        <v>0</v>
      </c>
      <c r="I355" s="115">
        <f t="shared" si="146"/>
        <v>0</v>
      </c>
      <c r="J355" s="115">
        <f t="shared" si="146"/>
        <v>0</v>
      </c>
      <c r="K355" s="115">
        <f t="shared" si="146"/>
        <v>0</v>
      </c>
      <c r="L355" s="115">
        <f t="shared" si="146"/>
        <v>0</v>
      </c>
      <c r="M355" s="115">
        <f t="shared" si="146"/>
        <v>0</v>
      </c>
      <c r="N355" s="115">
        <f t="shared" si="146"/>
        <v>0</v>
      </c>
      <c r="O355" s="115">
        <f t="shared" si="146"/>
        <v>0</v>
      </c>
      <c r="P355" s="115">
        <f t="shared" si="146"/>
        <v>0</v>
      </c>
      <c r="Q355" s="115">
        <f t="shared" si="146"/>
        <v>0</v>
      </c>
    </row>
    <row r="356" spans="1:17" s="36" customFormat="1" x14ac:dyDescent="0.25">
      <c r="A356" s="111">
        <f t="shared" si="147"/>
        <v>1110</v>
      </c>
      <c r="B356" s="111" t="str">
        <f t="shared" si="147"/>
        <v>3rd Grade Teacher</v>
      </c>
      <c r="D356" s="115">
        <f t="shared" si="141"/>
        <v>52000</v>
      </c>
      <c r="F356" s="115">
        <f t="shared" si="146"/>
        <v>0</v>
      </c>
      <c r="G356" s="115">
        <f t="shared" si="146"/>
        <v>0</v>
      </c>
      <c r="H356" s="115">
        <f t="shared" si="146"/>
        <v>0</v>
      </c>
      <c r="I356" s="115">
        <f t="shared" si="146"/>
        <v>0</v>
      </c>
      <c r="J356" s="115">
        <f t="shared" si="146"/>
        <v>0</v>
      </c>
      <c r="K356" s="115">
        <f t="shared" si="146"/>
        <v>0</v>
      </c>
      <c r="L356" s="115">
        <f t="shared" si="146"/>
        <v>0</v>
      </c>
      <c r="M356" s="115">
        <f t="shared" si="146"/>
        <v>0</v>
      </c>
      <c r="N356" s="115">
        <f t="shared" si="146"/>
        <v>0</v>
      </c>
      <c r="O356" s="115">
        <f t="shared" si="146"/>
        <v>0</v>
      </c>
      <c r="P356" s="115">
        <f t="shared" si="146"/>
        <v>0</v>
      </c>
      <c r="Q356" s="115">
        <f t="shared" si="146"/>
        <v>0</v>
      </c>
    </row>
    <row r="357" spans="1:17" s="36" customFormat="1" x14ac:dyDescent="0.25">
      <c r="A357" s="111">
        <f t="shared" si="147"/>
        <v>1110</v>
      </c>
      <c r="B357" s="111" t="str">
        <f t="shared" si="147"/>
        <v>3rd Grade Teacher</v>
      </c>
      <c r="D357" s="115">
        <f t="shared" si="141"/>
        <v>52000</v>
      </c>
      <c r="F357" s="115">
        <f t="shared" si="146"/>
        <v>0</v>
      </c>
      <c r="G357" s="115">
        <f t="shared" si="146"/>
        <v>0</v>
      </c>
      <c r="H357" s="115">
        <f t="shared" si="146"/>
        <v>0</v>
      </c>
      <c r="I357" s="115">
        <f t="shared" si="146"/>
        <v>0</v>
      </c>
      <c r="J357" s="115">
        <f t="shared" si="146"/>
        <v>0</v>
      </c>
      <c r="K357" s="115">
        <f t="shared" si="146"/>
        <v>0</v>
      </c>
      <c r="L357" s="115">
        <f t="shared" si="146"/>
        <v>0</v>
      </c>
      <c r="M357" s="115">
        <f t="shared" si="146"/>
        <v>0</v>
      </c>
      <c r="N357" s="115">
        <f t="shared" si="146"/>
        <v>0</v>
      </c>
      <c r="O357" s="115">
        <f t="shared" si="146"/>
        <v>0</v>
      </c>
      <c r="P357" s="115">
        <f t="shared" si="146"/>
        <v>0</v>
      </c>
      <c r="Q357" s="115">
        <f t="shared" si="146"/>
        <v>0</v>
      </c>
    </row>
    <row r="358" spans="1:17" s="36" customFormat="1" x14ac:dyDescent="0.25">
      <c r="A358" s="111">
        <f t="shared" si="147"/>
        <v>1110</v>
      </c>
      <c r="B358" s="111" t="str">
        <f t="shared" si="147"/>
        <v>3rd Grade Teacher</v>
      </c>
      <c r="D358" s="115">
        <f t="shared" si="141"/>
        <v>52000</v>
      </c>
      <c r="F358" s="115">
        <f t="shared" si="146"/>
        <v>0</v>
      </c>
      <c r="G358" s="115">
        <f t="shared" si="146"/>
        <v>0</v>
      </c>
      <c r="H358" s="115">
        <f t="shared" si="146"/>
        <v>0</v>
      </c>
      <c r="I358" s="115">
        <f t="shared" si="146"/>
        <v>0</v>
      </c>
      <c r="J358" s="115">
        <f t="shared" si="146"/>
        <v>0</v>
      </c>
      <c r="K358" s="115">
        <f t="shared" si="146"/>
        <v>0</v>
      </c>
      <c r="L358" s="115">
        <f t="shared" si="146"/>
        <v>0</v>
      </c>
      <c r="M358" s="115">
        <f t="shared" si="146"/>
        <v>0</v>
      </c>
      <c r="N358" s="115">
        <f t="shared" si="146"/>
        <v>0</v>
      </c>
      <c r="O358" s="115">
        <f t="shared" si="146"/>
        <v>0</v>
      </c>
      <c r="P358" s="115">
        <f t="shared" si="146"/>
        <v>0</v>
      </c>
      <c r="Q358" s="115">
        <f t="shared" si="146"/>
        <v>0</v>
      </c>
    </row>
    <row r="359" spans="1:17" s="36" customFormat="1" x14ac:dyDescent="0.25">
      <c r="A359" s="111">
        <f t="shared" si="147"/>
        <v>1110</v>
      </c>
      <c r="B359" s="111" t="str">
        <f t="shared" si="147"/>
        <v>3rd Grade Teacher</v>
      </c>
      <c r="D359" s="115">
        <f t="shared" si="141"/>
        <v>52000</v>
      </c>
      <c r="F359" s="115">
        <f t="shared" si="146"/>
        <v>0</v>
      </c>
      <c r="G359" s="115">
        <f t="shared" si="146"/>
        <v>0</v>
      </c>
      <c r="H359" s="115">
        <f t="shared" si="146"/>
        <v>0</v>
      </c>
      <c r="I359" s="115">
        <f t="shared" si="146"/>
        <v>0</v>
      </c>
      <c r="J359" s="115">
        <f t="shared" si="146"/>
        <v>0</v>
      </c>
      <c r="K359" s="115">
        <f t="shared" si="146"/>
        <v>0</v>
      </c>
      <c r="L359" s="115">
        <f t="shared" si="146"/>
        <v>0</v>
      </c>
      <c r="M359" s="115">
        <f t="shared" si="146"/>
        <v>0</v>
      </c>
      <c r="N359" s="115">
        <f t="shared" si="146"/>
        <v>0</v>
      </c>
      <c r="O359" s="115">
        <f t="shared" si="146"/>
        <v>0</v>
      </c>
      <c r="P359" s="115">
        <f t="shared" si="146"/>
        <v>0</v>
      </c>
      <c r="Q359" s="115">
        <f t="shared" si="146"/>
        <v>0</v>
      </c>
    </row>
    <row r="360" spans="1:17" s="36" customFormat="1" x14ac:dyDescent="0.25">
      <c r="A360" s="111">
        <f t="shared" si="147"/>
        <v>1110</v>
      </c>
      <c r="B360" s="111" t="str">
        <f t="shared" si="147"/>
        <v>4th Grade Teacher</v>
      </c>
      <c r="D360" s="115">
        <f t="shared" si="141"/>
        <v>52000</v>
      </c>
      <c r="F360" s="115">
        <f t="shared" si="146"/>
        <v>0</v>
      </c>
      <c r="G360" s="115">
        <f t="shared" si="146"/>
        <v>0</v>
      </c>
      <c r="H360" s="115">
        <f t="shared" si="146"/>
        <v>0</v>
      </c>
      <c r="I360" s="115">
        <f t="shared" si="146"/>
        <v>0</v>
      </c>
      <c r="J360" s="115">
        <f t="shared" si="146"/>
        <v>0</v>
      </c>
      <c r="K360" s="115">
        <f t="shared" si="146"/>
        <v>0</v>
      </c>
      <c r="L360" s="115">
        <f t="shared" si="146"/>
        <v>0</v>
      </c>
      <c r="M360" s="115">
        <f t="shared" si="146"/>
        <v>0</v>
      </c>
      <c r="N360" s="115">
        <f t="shared" si="146"/>
        <v>0</v>
      </c>
      <c r="O360" s="115">
        <f t="shared" si="146"/>
        <v>0</v>
      </c>
      <c r="P360" s="115">
        <f t="shared" si="146"/>
        <v>0</v>
      </c>
      <c r="Q360" s="115">
        <f t="shared" si="146"/>
        <v>0</v>
      </c>
    </row>
    <row r="361" spans="1:17" s="36" customFormat="1" x14ac:dyDescent="0.25">
      <c r="A361" s="111">
        <f t="shared" si="147"/>
        <v>1110</v>
      </c>
      <c r="B361" s="111" t="str">
        <f t="shared" si="147"/>
        <v>4th Grade Teacher</v>
      </c>
      <c r="D361" s="115">
        <f t="shared" si="141"/>
        <v>52000</v>
      </c>
      <c r="F361" s="115">
        <f t="shared" si="146"/>
        <v>0</v>
      </c>
      <c r="G361" s="115">
        <f t="shared" si="146"/>
        <v>0</v>
      </c>
      <c r="H361" s="115">
        <f t="shared" si="146"/>
        <v>0</v>
      </c>
      <c r="I361" s="115">
        <f t="shared" si="146"/>
        <v>0</v>
      </c>
      <c r="J361" s="115">
        <f t="shared" si="146"/>
        <v>0</v>
      </c>
      <c r="K361" s="115">
        <f t="shared" si="146"/>
        <v>0</v>
      </c>
      <c r="L361" s="115">
        <f t="shared" si="146"/>
        <v>0</v>
      </c>
      <c r="M361" s="115">
        <f t="shared" si="146"/>
        <v>0</v>
      </c>
      <c r="N361" s="115">
        <f t="shared" si="146"/>
        <v>0</v>
      </c>
      <c r="O361" s="115">
        <f t="shared" si="146"/>
        <v>0</v>
      </c>
      <c r="P361" s="115">
        <f t="shared" si="146"/>
        <v>0</v>
      </c>
      <c r="Q361" s="115">
        <f t="shared" si="146"/>
        <v>0</v>
      </c>
    </row>
    <row r="362" spans="1:17" s="36" customFormat="1" x14ac:dyDescent="0.25">
      <c r="A362" s="111">
        <f t="shared" si="147"/>
        <v>1110</v>
      </c>
      <c r="B362" s="111" t="str">
        <f t="shared" si="147"/>
        <v>4th Grade Teacher</v>
      </c>
      <c r="D362" s="115">
        <f t="shared" si="141"/>
        <v>52000</v>
      </c>
      <c r="F362" s="115">
        <f t="shared" si="146"/>
        <v>0</v>
      </c>
      <c r="G362" s="115">
        <f t="shared" si="146"/>
        <v>0</v>
      </c>
      <c r="H362" s="115">
        <f t="shared" si="146"/>
        <v>0</v>
      </c>
      <c r="I362" s="115">
        <f t="shared" si="146"/>
        <v>0</v>
      </c>
      <c r="J362" s="115">
        <f t="shared" si="146"/>
        <v>0</v>
      </c>
      <c r="K362" s="115">
        <f t="shared" si="146"/>
        <v>0</v>
      </c>
      <c r="L362" s="115">
        <f t="shared" si="146"/>
        <v>0</v>
      </c>
      <c r="M362" s="115">
        <f t="shared" si="146"/>
        <v>0</v>
      </c>
      <c r="N362" s="115">
        <f t="shared" si="146"/>
        <v>0</v>
      </c>
      <c r="O362" s="115">
        <f t="shared" si="146"/>
        <v>0</v>
      </c>
      <c r="P362" s="115">
        <f t="shared" si="146"/>
        <v>0</v>
      </c>
      <c r="Q362" s="115">
        <f t="shared" si="146"/>
        <v>0</v>
      </c>
    </row>
    <row r="363" spans="1:17" s="36" customFormat="1" x14ac:dyDescent="0.25">
      <c r="A363" s="111">
        <f t="shared" si="147"/>
        <v>1110</v>
      </c>
      <c r="B363" s="111" t="str">
        <f t="shared" si="147"/>
        <v>4th Grade Teacher</v>
      </c>
      <c r="D363" s="115">
        <f t="shared" si="141"/>
        <v>52000</v>
      </c>
      <c r="F363" s="115">
        <f t="shared" si="146"/>
        <v>0</v>
      </c>
      <c r="G363" s="115">
        <f t="shared" si="146"/>
        <v>0</v>
      </c>
      <c r="H363" s="115">
        <f t="shared" si="146"/>
        <v>0</v>
      </c>
      <c r="I363" s="115">
        <f t="shared" si="146"/>
        <v>0</v>
      </c>
      <c r="J363" s="115">
        <f t="shared" si="146"/>
        <v>0</v>
      </c>
      <c r="K363" s="115">
        <f t="shared" si="146"/>
        <v>0</v>
      </c>
      <c r="L363" s="115">
        <f t="shared" si="146"/>
        <v>0</v>
      </c>
      <c r="M363" s="115">
        <f t="shared" si="146"/>
        <v>0</v>
      </c>
      <c r="N363" s="115">
        <f t="shared" si="146"/>
        <v>0</v>
      </c>
      <c r="O363" s="115">
        <f t="shared" si="146"/>
        <v>0</v>
      </c>
      <c r="P363" s="115">
        <f t="shared" si="146"/>
        <v>0</v>
      </c>
      <c r="Q363" s="115">
        <f t="shared" si="146"/>
        <v>0</v>
      </c>
    </row>
    <row r="364" spans="1:17" s="36" customFormat="1" x14ac:dyDescent="0.25">
      <c r="A364" s="111">
        <f t="shared" si="147"/>
        <v>1110</v>
      </c>
      <c r="B364" s="111" t="str">
        <f t="shared" si="147"/>
        <v>4th Grade Teacher</v>
      </c>
      <c r="D364" s="115">
        <f t="shared" si="141"/>
        <v>52000</v>
      </c>
      <c r="F364" s="115">
        <f t="shared" ref="F364:Q379" si="148">$D364*(1+E$5)*F236</f>
        <v>0</v>
      </c>
      <c r="G364" s="115">
        <f t="shared" si="148"/>
        <v>0</v>
      </c>
      <c r="H364" s="115">
        <f t="shared" si="148"/>
        <v>0</v>
      </c>
      <c r="I364" s="115">
        <f t="shared" si="148"/>
        <v>0</v>
      </c>
      <c r="J364" s="115">
        <f t="shared" si="148"/>
        <v>0</v>
      </c>
      <c r="K364" s="115">
        <f t="shared" si="148"/>
        <v>0</v>
      </c>
      <c r="L364" s="115">
        <f t="shared" si="148"/>
        <v>0</v>
      </c>
      <c r="M364" s="115">
        <f t="shared" si="148"/>
        <v>0</v>
      </c>
      <c r="N364" s="115">
        <f t="shared" si="148"/>
        <v>0</v>
      </c>
      <c r="O364" s="115">
        <f t="shared" si="148"/>
        <v>0</v>
      </c>
      <c r="P364" s="115">
        <f t="shared" si="148"/>
        <v>0</v>
      </c>
      <c r="Q364" s="115">
        <f t="shared" si="148"/>
        <v>0</v>
      </c>
    </row>
    <row r="365" spans="1:17" s="36" customFormat="1" x14ac:dyDescent="0.25">
      <c r="A365" s="111">
        <f t="shared" ref="A365:B380" si="149">A237</f>
        <v>2100</v>
      </c>
      <c r="B365" s="111" t="str">
        <f t="shared" si="149"/>
        <v>Elementary Enrichment Teacher</v>
      </c>
      <c r="D365" s="115">
        <f t="shared" si="141"/>
        <v>52000</v>
      </c>
      <c r="F365" s="115">
        <f t="shared" si="148"/>
        <v>0</v>
      </c>
      <c r="G365" s="115">
        <f t="shared" si="148"/>
        <v>0</v>
      </c>
      <c r="H365" s="115">
        <f t="shared" si="148"/>
        <v>0</v>
      </c>
      <c r="I365" s="115">
        <f t="shared" si="148"/>
        <v>0</v>
      </c>
      <c r="J365" s="115">
        <f t="shared" si="148"/>
        <v>0</v>
      </c>
      <c r="K365" s="115">
        <f t="shared" si="148"/>
        <v>0</v>
      </c>
      <c r="L365" s="115">
        <f t="shared" si="148"/>
        <v>0</v>
      </c>
      <c r="M365" s="115">
        <f t="shared" si="148"/>
        <v>0</v>
      </c>
      <c r="N365" s="115">
        <f t="shared" si="148"/>
        <v>0</v>
      </c>
      <c r="O365" s="115">
        <f t="shared" si="148"/>
        <v>0</v>
      </c>
      <c r="P365" s="115">
        <f t="shared" si="148"/>
        <v>0</v>
      </c>
      <c r="Q365" s="115">
        <f t="shared" si="148"/>
        <v>0</v>
      </c>
    </row>
    <row r="366" spans="1:17" s="36" customFormat="1" x14ac:dyDescent="0.25">
      <c r="A366" s="111">
        <f t="shared" si="149"/>
        <v>2100</v>
      </c>
      <c r="B366" s="111" t="str">
        <f t="shared" si="149"/>
        <v>Elementary Enrichment Teacher</v>
      </c>
      <c r="D366" s="115">
        <f t="shared" si="141"/>
        <v>52000</v>
      </c>
      <c r="F366" s="115">
        <f t="shared" si="148"/>
        <v>0</v>
      </c>
      <c r="G366" s="115">
        <f t="shared" si="148"/>
        <v>0</v>
      </c>
      <c r="H366" s="115">
        <f t="shared" si="148"/>
        <v>0</v>
      </c>
      <c r="I366" s="115">
        <f t="shared" si="148"/>
        <v>0</v>
      </c>
      <c r="J366" s="115">
        <f t="shared" si="148"/>
        <v>0</v>
      </c>
      <c r="K366" s="115">
        <f t="shared" si="148"/>
        <v>0</v>
      </c>
      <c r="L366" s="115">
        <f t="shared" si="148"/>
        <v>0</v>
      </c>
      <c r="M366" s="115">
        <f t="shared" si="148"/>
        <v>0</v>
      </c>
      <c r="N366" s="115">
        <f t="shared" si="148"/>
        <v>0</v>
      </c>
      <c r="O366" s="115">
        <f t="shared" si="148"/>
        <v>0</v>
      </c>
      <c r="P366" s="115">
        <f t="shared" si="148"/>
        <v>0</v>
      </c>
      <c r="Q366" s="115">
        <f t="shared" si="148"/>
        <v>0</v>
      </c>
    </row>
    <row r="367" spans="1:17" s="36" customFormat="1" x14ac:dyDescent="0.25">
      <c r="A367" s="111">
        <f t="shared" si="149"/>
        <v>2100</v>
      </c>
      <c r="B367" s="111" t="str">
        <f t="shared" si="149"/>
        <v>Elementary Enrichment Teacher</v>
      </c>
      <c r="D367" s="115">
        <f t="shared" si="141"/>
        <v>52000</v>
      </c>
      <c r="F367" s="115">
        <f t="shared" si="148"/>
        <v>0</v>
      </c>
      <c r="G367" s="115">
        <f t="shared" si="148"/>
        <v>0</v>
      </c>
      <c r="H367" s="115">
        <f t="shared" si="148"/>
        <v>0</v>
      </c>
      <c r="I367" s="115">
        <f t="shared" si="148"/>
        <v>0</v>
      </c>
      <c r="J367" s="115">
        <f t="shared" si="148"/>
        <v>0</v>
      </c>
      <c r="K367" s="115">
        <f t="shared" si="148"/>
        <v>0</v>
      </c>
      <c r="L367" s="115">
        <f t="shared" si="148"/>
        <v>0</v>
      </c>
      <c r="M367" s="115">
        <f t="shared" si="148"/>
        <v>0</v>
      </c>
      <c r="N367" s="115">
        <f t="shared" si="148"/>
        <v>0</v>
      </c>
      <c r="O367" s="115">
        <f t="shared" si="148"/>
        <v>0</v>
      </c>
      <c r="P367" s="115">
        <f t="shared" si="148"/>
        <v>0</v>
      </c>
      <c r="Q367" s="115">
        <f t="shared" si="148"/>
        <v>0</v>
      </c>
    </row>
    <row r="368" spans="1:17" s="36" customFormat="1" x14ac:dyDescent="0.25">
      <c r="A368" s="111">
        <f t="shared" si="149"/>
        <v>1110</v>
      </c>
      <c r="B368" s="111" t="str">
        <f t="shared" si="149"/>
        <v>5th Grade Teacher</v>
      </c>
      <c r="D368" s="115">
        <f t="shared" si="141"/>
        <v>52000</v>
      </c>
      <c r="F368" s="115">
        <f t="shared" si="148"/>
        <v>0</v>
      </c>
      <c r="G368" s="115">
        <f t="shared" si="148"/>
        <v>0</v>
      </c>
      <c r="H368" s="115">
        <f t="shared" si="148"/>
        <v>0</v>
      </c>
      <c r="I368" s="115">
        <f t="shared" si="148"/>
        <v>0</v>
      </c>
      <c r="J368" s="115">
        <f t="shared" si="148"/>
        <v>0</v>
      </c>
      <c r="K368" s="115">
        <f t="shared" si="148"/>
        <v>0</v>
      </c>
      <c r="L368" s="115">
        <f t="shared" si="148"/>
        <v>0</v>
      </c>
      <c r="M368" s="115">
        <f t="shared" si="148"/>
        <v>0</v>
      </c>
      <c r="N368" s="115">
        <f t="shared" si="148"/>
        <v>0</v>
      </c>
      <c r="O368" s="115">
        <f t="shared" si="148"/>
        <v>0</v>
      </c>
      <c r="P368" s="115">
        <f t="shared" si="148"/>
        <v>0</v>
      </c>
      <c r="Q368" s="115">
        <f t="shared" si="148"/>
        <v>0</v>
      </c>
    </row>
    <row r="369" spans="1:17" s="36" customFormat="1" x14ac:dyDescent="0.25">
      <c r="A369" s="111">
        <f t="shared" si="149"/>
        <v>1110</v>
      </c>
      <c r="B369" s="111" t="str">
        <f t="shared" si="149"/>
        <v>5th Grade Teacher</v>
      </c>
      <c r="D369" s="115">
        <f t="shared" si="141"/>
        <v>52000</v>
      </c>
      <c r="F369" s="115">
        <f t="shared" si="148"/>
        <v>0</v>
      </c>
      <c r="G369" s="115">
        <f t="shared" si="148"/>
        <v>0</v>
      </c>
      <c r="H369" s="115">
        <f t="shared" si="148"/>
        <v>0</v>
      </c>
      <c r="I369" s="115">
        <f t="shared" si="148"/>
        <v>0</v>
      </c>
      <c r="J369" s="115">
        <f t="shared" si="148"/>
        <v>0</v>
      </c>
      <c r="K369" s="115">
        <f t="shared" si="148"/>
        <v>0</v>
      </c>
      <c r="L369" s="115">
        <f t="shared" si="148"/>
        <v>0</v>
      </c>
      <c r="M369" s="115">
        <f t="shared" si="148"/>
        <v>0</v>
      </c>
      <c r="N369" s="115">
        <f t="shared" si="148"/>
        <v>0</v>
      </c>
      <c r="O369" s="115">
        <f t="shared" si="148"/>
        <v>0</v>
      </c>
      <c r="P369" s="115">
        <f t="shared" si="148"/>
        <v>0</v>
      </c>
      <c r="Q369" s="115">
        <f t="shared" si="148"/>
        <v>0</v>
      </c>
    </row>
    <row r="370" spans="1:17" s="36" customFormat="1" x14ac:dyDescent="0.25">
      <c r="A370" s="111">
        <f t="shared" si="149"/>
        <v>1110</v>
      </c>
      <c r="B370" s="111" t="str">
        <f t="shared" si="149"/>
        <v>5th Grade Teacher</v>
      </c>
      <c r="D370" s="115">
        <f t="shared" si="141"/>
        <v>52000</v>
      </c>
      <c r="F370" s="115">
        <f t="shared" si="148"/>
        <v>0</v>
      </c>
      <c r="G370" s="115">
        <f t="shared" si="148"/>
        <v>0</v>
      </c>
      <c r="H370" s="115">
        <f t="shared" si="148"/>
        <v>0</v>
      </c>
      <c r="I370" s="115">
        <f t="shared" si="148"/>
        <v>0</v>
      </c>
      <c r="J370" s="115">
        <f t="shared" si="148"/>
        <v>0</v>
      </c>
      <c r="K370" s="115">
        <f t="shared" si="148"/>
        <v>0</v>
      </c>
      <c r="L370" s="115">
        <f t="shared" si="148"/>
        <v>0</v>
      </c>
      <c r="M370" s="115">
        <f t="shared" si="148"/>
        <v>0</v>
      </c>
      <c r="N370" s="115">
        <f t="shared" si="148"/>
        <v>0</v>
      </c>
      <c r="O370" s="115">
        <f t="shared" si="148"/>
        <v>0</v>
      </c>
      <c r="P370" s="115">
        <f t="shared" si="148"/>
        <v>0</v>
      </c>
      <c r="Q370" s="115">
        <f t="shared" si="148"/>
        <v>0</v>
      </c>
    </row>
    <row r="371" spans="1:17" s="36" customFormat="1" x14ac:dyDescent="0.25">
      <c r="A371" s="111">
        <f t="shared" si="149"/>
        <v>1110</v>
      </c>
      <c r="B371" s="111" t="str">
        <f t="shared" si="149"/>
        <v>5th Grade Teacher</v>
      </c>
      <c r="D371" s="115">
        <f t="shared" si="141"/>
        <v>52000</v>
      </c>
      <c r="F371" s="115">
        <f t="shared" si="148"/>
        <v>0</v>
      </c>
      <c r="G371" s="115">
        <f t="shared" si="148"/>
        <v>0</v>
      </c>
      <c r="H371" s="115">
        <f t="shared" si="148"/>
        <v>0</v>
      </c>
      <c r="I371" s="115">
        <f t="shared" si="148"/>
        <v>0</v>
      </c>
      <c r="J371" s="115">
        <f t="shared" si="148"/>
        <v>0</v>
      </c>
      <c r="K371" s="115">
        <f t="shared" si="148"/>
        <v>0</v>
      </c>
      <c r="L371" s="115">
        <f t="shared" si="148"/>
        <v>0</v>
      </c>
      <c r="M371" s="115">
        <f t="shared" si="148"/>
        <v>0</v>
      </c>
      <c r="N371" s="115">
        <f t="shared" si="148"/>
        <v>0</v>
      </c>
      <c r="O371" s="115">
        <f t="shared" si="148"/>
        <v>0</v>
      </c>
      <c r="P371" s="115">
        <f t="shared" si="148"/>
        <v>0</v>
      </c>
      <c r="Q371" s="115">
        <f t="shared" si="148"/>
        <v>0</v>
      </c>
    </row>
    <row r="372" spans="1:17" s="36" customFormat="1" x14ac:dyDescent="0.25">
      <c r="A372" s="111">
        <f t="shared" si="149"/>
        <v>1110</v>
      </c>
      <c r="B372" s="111" t="str">
        <f t="shared" si="149"/>
        <v>5th Grade Teacher</v>
      </c>
      <c r="D372" s="115">
        <f t="shared" si="141"/>
        <v>52000</v>
      </c>
      <c r="F372" s="115">
        <f t="shared" si="148"/>
        <v>0</v>
      </c>
      <c r="G372" s="115">
        <f t="shared" si="148"/>
        <v>0</v>
      </c>
      <c r="H372" s="115">
        <f t="shared" si="148"/>
        <v>0</v>
      </c>
      <c r="I372" s="115">
        <f t="shared" si="148"/>
        <v>0</v>
      </c>
      <c r="J372" s="115">
        <f t="shared" si="148"/>
        <v>0</v>
      </c>
      <c r="K372" s="115">
        <f t="shared" si="148"/>
        <v>0</v>
      </c>
      <c r="L372" s="115">
        <f t="shared" si="148"/>
        <v>0</v>
      </c>
      <c r="M372" s="115">
        <f t="shared" si="148"/>
        <v>0</v>
      </c>
      <c r="N372" s="115">
        <f t="shared" si="148"/>
        <v>0</v>
      </c>
      <c r="O372" s="115">
        <f t="shared" si="148"/>
        <v>0</v>
      </c>
      <c r="P372" s="115">
        <f t="shared" si="148"/>
        <v>0</v>
      </c>
      <c r="Q372" s="115">
        <f t="shared" si="148"/>
        <v>0</v>
      </c>
    </row>
    <row r="373" spans="1:17" s="36" customFormat="1" x14ac:dyDescent="0.25">
      <c r="A373" s="111">
        <f t="shared" si="149"/>
        <v>1110</v>
      </c>
      <c r="B373" s="111" t="str">
        <f t="shared" si="149"/>
        <v>6th Grade Teacher</v>
      </c>
      <c r="D373" s="115">
        <f t="shared" si="141"/>
        <v>52000</v>
      </c>
      <c r="F373" s="115">
        <f t="shared" si="148"/>
        <v>0</v>
      </c>
      <c r="G373" s="115">
        <f t="shared" si="148"/>
        <v>0</v>
      </c>
      <c r="H373" s="115">
        <f t="shared" si="148"/>
        <v>0</v>
      </c>
      <c r="I373" s="115">
        <f t="shared" si="148"/>
        <v>0</v>
      </c>
      <c r="J373" s="115">
        <f t="shared" si="148"/>
        <v>0</v>
      </c>
      <c r="K373" s="115">
        <f t="shared" si="148"/>
        <v>0</v>
      </c>
      <c r="L373" s="115">
        <f t="shared" si="148"/>
        <v>0</v>
      </c>
      <c r="M373" s="115">
        <f t="shared" si="148"/>
        <v>0</v>
      </c>
      <c r="N373" s="115">
        <f t="shared" si="148"/>
        <v>0</v>
      </c>
      <c r="O373" s="115">
        <f t="shared" si="148"/>
        <v>0</v>
      </c>
      <c r="P373" s="115">
        <f t="shared" si="148"/>
        <v>0</v>
      </c>
      <c r="Q373" s="115">
        <f t="shared" si="148"/>
        <v>0</v>
      </c>
    </row>
    <row r="374" spans="1:17" s="36" customFormat="1" x14ac:dyDescent="0.25">
      <c r="A374" s="111">
        <f t="shared" si="149"/>
        <v>1110</v>
      </c>
      <c r="B374" s="111" t="str">
        <f t="shared" si="149"/>
        <v>6th Grade Teacher</v>
      </c>
      <c r="D374" s="115">
        <f t="shared" si="141"/>
        <v>52000</v>
      </c>
      <c r="F374" s="115">
        <f t="shared" si="148"/>
        <v>0</v>
      </c>
      <c r="G374" s="115">
        <f t="shared" si="148"/>
        <v>0</v>
      </c>
      <c r="H374" s="115">
        <f t="shared" si="148"/>
        <v>0</v>
      </c>
      <c r="I374" s="115">
        <f t="shared" si="148"/>
        <v>0</v>
      </c>
      <c r="J374" s="115">
        <f t="shared" si="148"/>
        <v>0</v>
      </c>
      <c r="K374" s="115">
        <f t="shared" si="148"/>
        <v>0</v>
      </c>
      <c r="L374" s="115">
        <f t="shared" si="148"/>
        <v>0</v>
      </c>
      <c r="M374" s="115">
        <f t="shared" si="148"/>
        <v>0</v>
      </c>
      <c r="N374" s="115">
        <f t="shared" si="148"/>
        <v>0</v>
      </c>
      <c r="O374" s="115">
        <f t="shared" si="148"/>
        <v>0</v>
      </c>
      <c r="P374" s="115">
        <f t="shared" si="148"/>
        <v>0</v>
      </c>
      <c r="Q374" s="115">
        <f t="shared" si="148"/>
        <v>0</v>
      </c>
    </row>
    <row r="375" spans="1:17" s="36" customFormat="1" x14ac:dyDescent="0.25">
      <c r="A375" s="111">
        <f t="shared" si="149"/>
        <v>1110</v>
      </c>
      <c r="B375" s="111" t="str">
        <f t="shared" si="149"/>
        <v>6th Grade Teacher</v>
      </c>
      <c r="D375" s="115">
        <f t="shared" si="141"/>
        <v>52000</v>
      </c>
      <c r="F375" s="115">
        <f t="shared" si="148"/>
        <v>0</v>
      </c>
      <c r="G375" s="115">
        <f t="shared" si="148"/>
        <v>0</v>
      </c>
      <c r="H375" s="115">
        <f t="shared" si="148"/>
        <v>0</v>
      </c>
      <c r="I375" s="115">
        <f t="shared" si="148"/>
        <v>0</v>
      </c>
      <c r="J375" s="115">
        <f t="shared" si="148"/>
        <v>0</v>
      </c>
      <c r="K375" s="115">
        <f t="shared" si="148"/>
        <v>0</v>
      </c>
      <c r="L375" s="115">
        <f t="shared" si="148"/>
        <v>0</v>
      </c>
      <c r="M375" s="115">
        <f t="shared" si="148"/>
        <v>0</v>
      </c>
      <c r="N375" s="115">
        <f t="shared" si="148"/>
        <v>0</v>
      </c>
      <c r="O375" s="115">
        <f t="shared" si="148"/>
        <v>0</v>
      </c>
      <c r="P375" s="115">
        <f t="shared" si="148"/>
        <v>0</v>
      </c>
      <c r="Q375" s="115">
        <f t="shared" si="148"/>
        <v>0</v>
      </c>
    </row>
    <row r="376" spans="1:17" s="36" customFormat="1" x14ac:dyDescent="0.25">
      <c r="A376" s="111">
        <f t="shared" si="149"/>
        <v>1110</v>
      </c>
      <c r="B376" s="111" t="str">
        <f t="shared" si="149"/>
        <v>6th Grade Teacher</v>
      </c>
      <c r="D376" s="115">
        <f t="shared" si="141"/>
        <v>52000</v>
      </c>
      <c r="F376" s="115">
        <f t="shared" si="148"/>
        <v>0</v>
      </c>
      <c r="G376" s="115">
        <f t="shared" si="148"/>
        <v>0</v>
      </c>
      <c r="H376" s="115">
        <f t="shared" si="148"/>
        <v>0</v>
      </c>
      <c r="I376" s="115">
        <f t="shared" si="148"/>
        <v>0</v>
      </c>
      <c r="J376" s="115">
        <f t="shared" si="148"/>
        <v>0</v>
      </c>
      <c r="K376" s="115">
        <f t="shared" si="148"/>
        <v>0</v>
      </c>
      <c r="L376" s="115">
        <f t="shared" si="148"/>
        <v>0</v>
      </c>
      <c r="M376" s="115">
        <f t="shared" si="148"/>
        <v>0</v>
      </c>
      <c r="N376" s="115">
        <f t="shared" si="148"/>
        <v>0</v>
      </c>
      <c r="O376" s="115">
        <f t="shared" si="148"/>
        <v>0</v>
      </c>
      <c r="P376" s="115">
        <f t="shared" si="148"/>
        <v>0</v>
      </c>
      <c r="Q376" s="115">
        <f t="shared" si="148"/>
        <v>0</v>
      </c>
    </row>
    <row r="377" spans="1:17" s="36" customFormat="1" x14ac:dyDescent="0.25">
      <c r="A377" s="111">
        <f t="shared" si="149"/>
        <v>1110</v>
      </c>
      <c r="B377" s="111" t="str">
        <f t="shared" si="149"/>
        <v>7th Grade Teacher</v>
      </c>
      <c r="D377" s="115">
        <f t="shared" si="141"/>
        <v>52000</v>
      </c>
      <c r="F377" s="115">
        <f t="shared" si="148"/>
        <v>0</v>
      </c>
      <c r="G377" s="115">
        <f t="shared" si="148"/>
        <v>0</v>
      </c>
      <c r="H377" s="115">
        <f t="shared" si="148"/>
        <v>0</v>
      </c>
      <c r="I377" s="115">
        <f t="shared" si="148"/>
        <v>0</v>
      </c>
      <c r="J377" s="115">
        <f t="shared" si="148"/>
        <v>0</v>
      </c>
      <c r="K377" s="115">
        <f t="shared" si="148"/>
        <v>0</v>
      </c>
      <c r="L377" s="115">
        <f t="shared" si="148"/>
        <v>0</v>
      </c>
      <c r="M377" s="115">
        <f t="shared" si="148"/>
        <v>0</v>
      </c>
      <c r="N377" s="115">
        <f t="shared" si="148"/>
        <v>0</v>
      </c>
      <c r="O377" s="115">
        <f t="shared" si="148"/>
        <v>0</v>
      </c>
      <c r="P377" s="115">
        <f t="shared" si="148"/>
        <v>0</v>
      </c>
      <c r="Q377" s="115">
        <f t="shared" si="148"/>
        <v>0</v>
      </c>
    </row>
    <row r="378" spans="1:17" s="36" customFormat="1" x14ac:dyDescent="0.25">
      <c r="A378" s="111">
        <f t="shared" si="149"/>
        <v>1110</v>
      </c>
      <c r="B378" s="111" t="str">
        <f t="shared" si="149"/>
        <v>7th Grade Teacher</v>
      </c>
      <c r="D378" s="115">
        <f t="shared" si="141"/>
        <v>52000</v>
      </c>
      <c r="F378" s="115">
        <f t="shared" si="148"/>
        <v>0</v>
      </c>
      <c r="G378" s="115">
        <f t="shared" si="148"/>
        <v>0</v>
      </c>
      <c r="H378" s="115">
        <f t="shared" si="148"/>
        <v>0</v>
      </c>
      <c r="I378" s="115">
        <f t="shared" si="148"/>
        <v>0</v>
      </c>
      <c r="J378" s="115">
        <f t="shared" si="148"/>
        <v>0</v>
      </c>
      <c r="K378" s="115">
        <f t="shared" si="148"/>
        <v>0</v>
      </c>
      <c r="L378" s="115">
        <f t="shared" si="148"/>
        <v>0</v>
      </c>
      <c r="M378" s="115">
        <f t="shared" si="148"/>
        <v>0</v>
      </c>
      <c r="N378" s="115">
        <f t="shared" si="148"/>
        <v>0</v>
      </c>
      <c r="O378" s="115">
        <f t="shared" si="148"/>
        <v>0</v>
      </c>
      <c r="P378" s="115">
        <f t="shared" si="148"/>
        <v>0</v>
      </c>
      <c r="Q378" s="115">
        <f t="shared" si="148"/>
        <v>0</v>
      </c>
    </row>
    <row r="379" spans="1:17" s="36" customFormat="1" x14ac:dyDescent="0.25">
      <c r="A379" s="111">
        <f t="shared" si="149"/>
        <v>1110</v>
      </c>
      <c r="B379" s="111" t="str">
        <f t="shared" si="149"/>
        <v>7th Grade Teacher</v>
      </c>
      <c r="D379" s="115">
        <f t="shared" si="141"/>
        <v>52000</v>
      </c>
      <c r="F379" s="115">
        <f t="shared" si="148"/>
        <v>0</v>
      </c>
      <c r="G379" s="115">
        <f t="shared" si="148"/>
        <v>0</v>
      </c>
      <c r="H379" s="115">
        <f t="shared" si="148"/>
        <v>0</v>
      </c>
      <c r="I379" s="115">
        <f t="shared" si="148"/>
        <v>0</v>
      </c>
      <c r="J379" s="115">
        <f t="shared" si="148"/>
        <v>0</v>
      </c>
      <c r="K379" s="115">
        <f t="shared" si="148"/>
        <v>0</v>
      </c>
      <c r="L379" s="115">
        <f t="shared" si="148"/>
        <v>0</v>
      </c>
      <c r="M379" s="115">
        <f t="shared" si="148"/>
        <v>0</v>
      </c>
      <c r="N379" s="115">
        <f t="shared" si="148"/>
        <v>0</v>
      </c>
      <c r="O379" s="115">
        <f t="shared" si="148"/>
        <v>0</v>
      </c>
      <c r="P379" s="115">
        <f t="shared" si="148"/>
        <v>0</v>
      </c>
      <c r="Q379" s="115">
        <f t="shared" si="148"/>
        <v>0</v>
      </c>
    </row>
    <row r="380" spans="1:17" s="36" customFormat="1" x14ac:dyDescent="0.25">
      <c r="A380" s="111">
        <f t="shared" si="149"/>
        <v>1110</v>
      </c>
      <c r="B380" s="111" t="str">
        <f t="shared" si="149"/>
        <v>7th Grade Teacher</v>
      </c>
      <c r="D380" s="115">
        <f t="shared" ref="D380:D440" si="150">D252</f>
        <v>52000</v>
      </c>
      <c r="F380" s="115">
        <f t="shared" ref="F380:Q395" si="151">$D380*(1+E$5)*F252</f>
        <v>0</v>
      </c>
      <c r="G380" s="115">
        <f t="shared" si="151"/>
        <v>0</v>
      </c>
      <c r="H380" s="115">
        <f t="shared" si="151"/>
        <v>0</v>
      </c>
      <c r="I380" s="115">
        <f t="shared" si="151"/>
        <v>0</v>
      </c>
      <c r="J380" s="115">
        <f t="shared" si="151"/>
        <v>0</v>
      </c>
      <c r="K380" s="115">
        <f t="shared" si="151"/>
        <v>0</v>
      </c>
      <c r="L380" s="115">
        <f t="shared" si="151"/>
        <v>0</v>
      </c>
      <c r="M380" s="115">
        <f t="shared" si="151"/>
        <v>0</v>
      </c>
      <c r="N380" s="115">
        <f t="shared" si="151"/>
        <v>0</v>
      </c>
      <c r="O380" s="115">
        <f t="shared" si="151"/>
        <v>0</v>
      </c>
      <c r="P380" s="115">
        <f t="shared" si="151"/>
        <v>0</v>
      </c>
      <c r="Q380" s="115">
        <f t="shared" si="151"/>
        <v>0</v>
      </c>
    </row>
    <row r="381" spans="1:17" s="36" customFormat="1" x14ac:dyDescent="0.25">
      <c r="A381" s="111">
        <f t="shared" ref="A381:B396" si="152">A253</f>
        <v>1110</v>
      </c>
      <c r="B381" s="111" t="str">
        <f t="shared" si="152"/>
        <v>7th Grade Teacher</v>
      </c>
      <c r="D381" s="115">
        <f t="shared" si="150"/>
        <v>52000</v>
      </c>
      <c r="F381" s="115">
        <f t="shared" si="151"/>
        <v>0</v>
      </c>
      <c r="G381" s="115">
        <f t="shared" si="151"/>
        <v>0</v>
      </c>
      <c r="H381" s="115">
        <f t="shared" si="151"/>
        <v>0</v>
      </c>
      <c r="I381" s="115">
        <f t="shared" si="151"/>
        <v>0</v>
      </c>
      <c r="J381" s="115">
        <f t="shared" si="151"/>
        <v>0</v>
      </c>
      <c r="K381" s="115">
        <f t="shared" si="151"/>
        <v>0</v>
      </c>
      <c r="L381" s="115">
        <f t="shared" si="151"/>
        <v>0</v>
      </c>
      <c r="M381" s="115">
        <f t="shared" si="151"/>
        <v>0</v>
      </c>
      <c r="N381" s="115">
        <f t="shared" si="151"/>
        <v>0</v>
      </c>
      <c r="O381" s="115">
        <f t="shared" si="151"/>
        <v>0</v>
      </c>
      <c r="P381" s="115">
        <f t="shared" si="151"/>
        <v>0</v>
      </c>
      <c r="Q381" s="115">
        <f t="shared" si="151"/>
        <v>0</v>
      </c>
    </row>
    <row r="382" spans="1:17" s="36" customFormat="1" x14ac:dyDescent="0.25">
      <c r="A382" s="111">
        <f t="shared" si="152"/>
        <v>1110</v>
      </c>
      <c r="B382" s="111" t="str">
        <f t="shared" si="152"/>
        <v>8th Grade Teacher</v>
      </c>
      <c r="D382" s="115">
        <f t="shared" si="150"/>
        <v>52000</v>
      </c>
      <c r="F382" s="115">
        <f t="shared" si="151"/>
        <v>0</v>
      </c>
      <c r="G382" s="115">
        <f t="shared" si="151"/>
        <v>0</v>
      </c>
      <c r="H382" s="115">
        <f t="shared" si="151"/>
        <v>0</v>
      </c>
      <c r="I382" s="115">
        <f t="shared" si="151"/>
        <v>0</v>
      </c>
      <c r="J382" s="115">
        <f t="shared" si="151"/>
        <v>0</v>
      </c>
      <c r="K382" s="115">
        <f t="shared" si="151"/>
        <v>0</v>
      </c>
      <c r="L382" s="115">
        <f t="shared" si="151"/>
        <v>0</v>
      </c>
      <c r="M382" s="115">
        <f t="shared" si="151"/>
        <v>0</v>
      </c>
      <c r="N382" s="115">
        <f t="shared" si="151"/>
        <v>0</v>
      </c>
      <c r="O382" s="115">
        <f t="shared" si="151"/>
        <v>0</v>
      </c>
      <c r="P382" s="115">
        <f t="shared" si="151"/>
        <v>0</v>
      </c>
      <c r="Q382" s="115">
        <f t="shared" si="151"/>
        <v>0</v>
      </c>
    </row>
    <row r="383" spans="1:17" s="36" customFormat="1" x14ac:dyDescent="0.25">
      <c r="A383" s="111">
        <f t="shared" si="152"/>
        <v>1110</v>
      </c>
      <c r="B383" s="111" t="str">
        <f t="shared" si="152"/>
        <v>8th Grade Teacher</v>
      </c>
      <c r="D383" s="115">
        <f t="shared" si="150"/>
        <v>52000</v>
      </c>
      <c r="F383" s="115">
        <f t="shared" si="151"/>
        <v>0</v>
      </c>
      <c r="G383" s="115">
        <f t="shared" si="151"/>
        <v>0</v>
      </c>
      <c r="H383" s="115">
        <f t="shared" si="151"/>
        <v>0</v>
      </c>
      <c r="I383" s="115">
        <f t="shared" si="151"/>
        <v>0</v>
      </c>
      <c r="J383" s="115">
        <f t="shared" si="151"/>
        <v>0</v>
      </c>
      <c r="K383" s="115">
        <f t="shared" si="151"/>
        <v>0</v>
      </c>
      <c r="L383" s="115">
        <f t="shared" si="151"/>
        <v>0</v>
      </c>
      <c r="M383" s="115">
        <f t="shared" si="151"/>
        <v>0</v>
      </c>
      <c r="N383" s="115">
        <f t="shared" si="151"/>
        <v>0</v>
      </c>
      <c r="O383" s="115">
        <f t="shared" si="151"/>
        <v>0</v>
      </c>
      <c r="P383" s="115">
        <f t="shared" si="151"/>
        <v>0</v>
      </c>
      <c r="Q383" s="115">
        <f t="shared" si="151"/>
        <v>0</v>
      </c>
    </row>
    <row r="384" spans="1:17" s="36" customFormat="1" x14ac:dyDescent="0.25">
      <c r="A384" s="111">
        <f t="shared" si="152"/>
        <v>1110</v>
      </c>
      <c r="B384" s="111" t="str">
        <f t="shared" si="152"/>
        <v>8th Grade Teacher</v>
      </c>
      <c r="D384" s="115">
        <f t="shared" si="150"/>
        <v>52000</v>
      </c>
      <c r="F384" s="115">
        <f t="shared" si="151"/>
        <v>0</v>
      </c>
      <c r="G384" s="115">
        <f t="shared" si="151"/>
        <v>0</v>
      </c>
      <c r="H384" s="115">
        <f t="shared" si="151"/>
        <v>0</v>
      </c>
      <c r="I384" s="115">
        <f t="shared" si="151"/>
        <v>0</v>
      </c>
      <c r="J384" s="115">
        <f t="shared" si="151"/>
        <v>0</v>
      </c>
      <c r="K384" s="115">
        <f t="shared" si="151"/>
        <v>0</v>
      </c>
      <c r="L384" s="115">
        <f t="shared" si="151"/>
        <v>0</v>
      </c>
      <c r="M384" s="115">
        <f t="shared" si="151"/>
        <v>0</v>
      </c>
      <c r="N384" s="115">
        <f t="shared" si="151"/>
        <v>0</v>
      </c>
      <c r="O384" s="115">
        <f t="shared" si="151"/>
        <v>0</v>
      </c>
      <c r="P384" s="115">
        <f t="shared" si="151"/>
        <v>0</v>
      </c>
      <c r="Q384" s="115">
        <f t="shared" si="151"/>
        <v>0</v>
      </c>
    </row>
    <row r="385" spans="1:17" s="36" customFormat="1" x14ac:dyDescent="0.25">
      <c r="A385" s="111">
        <f t="shared" si="152"/>
        <v>1110</v>
      </c>
      <c r="B385" s="111" t="str">
        <f t="shared" si="152"/>
        <v>8th Grade Teacher</v>
      </c>
      <c r="D385" s="115">
        <f t="shared" si="150"/>
        <v>52000</v>
      </c>
      <c r="F385" s="115">
        <f t="shared" si="151"/>
        <v>0</v>
      </c>
      <c r="G385" s="115">
        <f t="shared" si="151"/>
        <v>0</v>
      </c>
      <c r="H385" s="115">
        <f t="shared" si="151"/>
        <v>0</v>
      </c>
      <c r="I385" s="115">
        <f t="shared" si="151"/>
        <v>0</v>
      </c>
      <c r="J385" s="115">
        <f t="shared" si="151"/>
        <v>0</v>
      </c>
      <c r="K385" s="115">
        <f t="shared" si="151"/>
        <v>0</v>
      </c>
      <c r="L385" s="115">
        <f t="shared" si="151"/>
        <v>0</v>
      </c>
      <c r="M385" s="115">
        <f t="shared" si="151"/>
        <v>0</v>
      </c>
      <c r="N385" s="115">
        <f t="shared" si="151"/>
        <v>0</v>
      </c>
      <c r="O385" s="115">
        <f t="shared" si="151"/>
        <v>0</v>
      </c>
      <c r="P385" s="115">
        <f t="shared" si="151"/>
        <v>0</v>
      </c>
      <c r="Q385" s="115">
        <f t="shared" si="151"/>
        <v>0</v>
      </c>
    </row>
    <row r="386" spans="1:17" s="36" customFormat="1" x14ac:dyDescent="0.25">
      <c r="A386" s="111">
        <f t="shared" si="152"/>
        <v>1110</v>
      </c>
      <c r="B386" s="111" t="str">
        <f t="shared" si="152"/>
        <v>8th Grade Teacher</v>
      </c>
      <c r="D386" s="115">
        <f t="shared" si="150"/>
        <v>52000</v>
      </c>
      <c r="F386" s="115">
        <f t="shared" si="151"/>
        <v>0</v>
      </c>
      <c r="G386" s="115">
        <f t="shared" si="151"/>
        <v>0</v>
      </c>
      <c r="H386" s="115">
        <f t="shared" si="151"/>
        <v>0</v>
      </c>
      <c r="I386" s="115">
        <f t="shared" si="151"/>
        <v>0</v>
      </c>
      <c r="J386" s="115">
        <f t="shared" si="151"/>
        <v>0</v>
      </c>
      <c r="K386" s="115">
        <f t="shared" si="151"/>
        <v>0</v>
      </c>
      <c r="L386" s="115">
        <f t="shared" si="151"/>
        <v>0</v>
      </c>
      <c r="M386" s="115">
        <f t="shared" si="151"/>
        <v>0</v>
      </c>
      <c r="N386" s="115">
        <f t="shared" si="151"/>
        <v>0</v>
      </c>
      <c r="O386" s="115">
        <f t="shared" si="151"/>
        <v>0</v>
      </c>
      <c r="P386" s="115">
        <f t="shared" si="151"/>
        <v>0</v>
      </c>
      <c r="Q386" s="115">
        <f t="shared" si="151"/>
        <v>0</v>
      </c>
    </row>
    <row r="387" spans="1:17" s="36" customFormat="1" x14ac:dyDescent="0.25">
      <c r="A387" s="111">
        <f t="shared" si="152"/>
        <v>2100</v>
      </c>
      <c r="B387" s="111" t="str">
        <f t="shared" si="152"/>
        <v xml:space="preserve">Enrichment Teacher - Middle </v>
      </c>
      <c r="D387" s="115">
        <f t="shared" si="150"/>
        <v>52000</v>
      </c>
      <c r="F387" s="115">
        <f t="shared" si="151"/>
        <v>0</v>
      </c>
      <c r="G387" s="115">
        <f t="shared" si="151"/>
        <v>0</v>
      </c>
      <c r="H387" s="115">
        <f t="shared" si="151"/>
        <v>0</v>
      </c>
      <c r="I387" s="115">
        <f t="shared" si="151"/>
        <v>0</v>
      </c>
      <c r="J387" s="115">
        <f t="shared" si="151"/>
        <v>0</v>
      </c>
      <c r="K387" s="115">
        <f t="shared" si="151"/>
        <v>0</v>
      </c>
      <c r="L387" s="115">
        <f t="shared" si="151"/>
        <v>0</v>
      </c>
      <c r="M387" s="115">
        <f t="shared" si="151"/>
        <v>0</v>
      </c>
      <c r="N387" s="115">
        <f t="shared" si="151"/>
        <v>0</v>
      </c>
      <c r="O387" s="115">
        <f t="shared" si="151"/>
        <v>0</v>
      </c>
      <c r="P387" s="115">
        <f t="shared" si="151"/>
        <v>0</v>
      </c>
      <c r="Q387" s="115">
        <f t="shared" si="151"/>
        <v>0</v>
      </c>
    </row>
    <row r="388" spans="1:17" s="36" customFormat="1" x14ac:dyDescent="0.25">
      <c r="A388" s="111">
        <f t="shared" si="152"/>
        <v>2100</v>
      </c>
      <c r="B388" s="111" t="str">
        <f t="shared" si="152"/>
        <v xml:space="preserve">Enrichment Teacher - Middle </v>
      </c>
      <c r="D388" s="115">
        <f t="shared" si="150"/>
        <v>52000</v>
      </c>
      <c r="F388" s="115">
        <f t="shared" si="151"/>
        <v>0</v>
      </c>
      <c r="G388" s="115">
        <f t="shared" si="151"/>
        <v>0</v>
      </c>
      <c r="H388" s="115">
        <f t="shared" si="151"/>
        <v>0</v>
      </c>
      <c r="I388" s="115">
        <f t="shared" si="151"/>
        <v>0</v>
      </c>
      <c r="J388" s="115">
        <f t="shared" si="151"/>
        <v>0</v>
      </c>
      <c r="K388" s="115">
        <f t="shared" si="151"/>
        <v>0</v>
      </c>
      <c r="L388" s="115">
        <f t="shared" si="151"/>
        <v>0</v>
      </c>
      <c r="M388" s="115">
        <f t="shared" si="151"/>
        <v>0</v>
      </c>
      <c r="N388" s="115">
        <f t="shared" si="151"/>
        <v>0</v>
      </c>
      <c r="O388" s="115">
        <f t="shared" si="151"/>
        <v>0</v>
      </c>
      <c r="P388" s="115">
        <f t="shared" si="151"/>
        <v>0</v>
      </c>
      <c r="Q388" s="115">
        <f t="shared" si="151"/>
        <v>0</v>
      </c>
    </row>
    <row r="389" spans="1:17" s="36" customFormat="1" x14ac:dyDescent="0.25">
      <c r="A389" s="111">
        <f t="shared" si="152"/>
        <v>2200</v>
      </c>
      <c r="B389" s="111" t="str">
        <f t="shared" si="152"/>
        <v>Lunch Leader/Nutrition</v>
      </c>
      <c r="D389" s="115">
        <f t="shared" si="150"/>
        <v>11830</v>
      </c>
      <c r="F389" s="115">
        <f t="shared" si="151"/>
        <v>0</v>
      </c>
      <c r="G389" s="115">
        <f t="shared" si="151"/>
        <v>0</v>
      </c>
      <c r="H389" s="115">
        <f t="shared" si="151"/>
        <v>0</v>
      </c>
      <c r="I389" s="115">
        <f t="shared" si="151"/>
        <v>0</v>
      </c>
      <c r="J389" s="115">
        <f t="shared" si="151"/>
        <v>0</v>
      </c>
      <c r="K389" s="115">
        <f t="shared" si="151"/>
        <v>12776.400000000001</v>
      </c>
      <c r="L389" s="115">
        <f t="shared" si="151"/>
        <v>13013.000000000002</v>
      </c>
      <c r="M389" s="115">
        <f t="shared" si="151"/>
        <v>13249.6</v>
      </c>
      <c r="N389" s="115">
        <f t="shared" si="151"/>
        <v>13486.2</v>
      </c>
      <c r="O389" s="115">
        <f t="shared" si="151"/>
        <v>13722.8</v>
      </c>
      <c r="P389" s="115">
        <f t="shared" si="151"/>
        <v>13959.4</v>
      </c>
      <c r="Q389" s="115">
        <f t="shared" si="151"/>
        <v>14196</v>
      </c>
    </row>
    <row r="390" spans="1:17" s="36" customFormat="1" x14ac:dyDescent="0.25">
      <c r="A390" s="111">
        <f t="shared" si="152"/>
        <v>2200</v>
      </c>
      <c r="B390" s="111" t="str">
        <f t="shared" si="152"/>
        <v>Lunch Leader/Nutrition</v>
      </c>
      <c r="D390" s="115">
        <f t="shared" si="150"/>
        <v>11830</v>
      </c>
      <c r="F390" s="115">
        <f t="shared" si="151"/>
        <v>0</v>
      </c>
      <c r="G390" s="115">
        <f t="shared" si="151"/>
        <v>0</v>
      </c>
      <c r="H390" s="115">
        <f t="shared" si="151"/>
        <v>0</v>
      </c>
      <c r="I390" s="115">
        <f t="shared" si="151"/>
        <v>0</v>
      </c>
      <c r="J390" s="115">
        <f t="shared" si="151"/>
        <v>0</v>
      </c>
      <c r="K390" s="115">
        <f t="shared" si="151"/>
        <v>0</v>
      </c>
      <c r="L390" s="115">
        <f t="shared" si="151"/>
        <v>6506.5000000000009</v>
      </c>
      <c r="M390" s="115">
        <f t="shared" si="151"/>
        <v>13249.6</v>
      </c>
      <c r="N390" s="115">
        <f t="shared" si="151"/>
        <v>13486.2</v>
      </c>
      <c r="O390" s="115">
        <f t="shared" si="151"/>
        <v>13722.8</v>
      </c>
      <c r="P390" s="115">
        <f t="shared" si="151"/>
        <v>13959.4</v>
      </c>
      <c r="Q390" s="115">
        <f t="shared" si="151"/>
        <v>14196</v>
      </c>
    </row>
    <row r="391" spans="1:17" s="36" customFormat="1" x14ac:dyDescent="0.25">
      <c r="A391" s="111">
        <f t="shared" si="152"/>
        <v>2200</v>
      </c>
      <c r="B391" s="111" t="str">
        <f t="shared" si="152"/>
        <v>Lunch Leader/Nutrition</v>
      </c>
      <c r="D391" s="115">
        <f t="shared" si="150"/>
        <v>11830</v>
      </c>
      <c r="F391" s="115">
        <f t="shared" si="151"/>
        <v>0</v>
      </c>
      <c r="G391" s="115">
        <f t="shared" si="151"/>
        <v>0</v>
      </c>
      <c r="H391" s="115">
        <f t="shared" si="151"/>
        <v>0</v>
      </c>
      <c r="I391" s="115">
        <f t="shared" si="151"/>
        <v>0</v>
      </c>
      <c r="J391" s="115">
        <f t="shared" si="151"/>
        <v>0</v>
      </c>
      <c r="K391" s="115">
        <f t="shared" si="151"/>
        <v>0</v>
      </c>
      <c r="L391" s="115">
        <f t="shared" si="151"/>
        <v>0</v>
      </c>
      <c r="M391" s="115">
        <f t="shared" si="151"/>
        <v>6624.8</v>
      </c>
      <c r="N391" s="115">
        <f t="shared" si="151"/>
        <v>13486.2</v>
      </c>
      <c r="O391" s="115">
        <f t="shared" si="151"/>
        <v>13722.8</v>
      </c>
      <c r="P391" s="115">
        <f t="shared" si="151"/>
        <v>13959.4</v>
      </c>
      <c r="Q391" s="115">
        <f t="shared" si="151"/>
        <v>14196</v>
      </c>
    </row>
    <row r="392" spans="1:17" s="36" customFormat="1" x14ac:dyDescent="0.25">
      <c r="A392" s="111">
        <f t="shared" si="152"/>
        <v>2200</v>
      </c>
      <c r="B392" s="111" t="str">
        <f t="shared" si="152"/>
        <v>Lunch Leader/Nutrition</v>
      </c>
      <c r="D392" s="115">
        <f t="shared" si="150"/>
        <v>11830</v>
      </c>
      <c r="F392" s="115">
        <f t="shared" si="151"/>
        <v>0</v>
      </c>
      <c r="G392" s="115">
        <f t="shared" si="151"/>
        <v>0</v>
      </c>
      <c r="H392" s="115">
        <f t="shared" si="151"/>
        <v>0</v>
      </c>
      <c r="I392" s="115">
        <f t="shared" si="151"/>
        <v>0</v>
      </c>
      <c r="J392" s="115">
        <f t="shared" si="151"/>
        <v>0</v>
      </c>
      <c r="K392" s="115">
        <f t="shared" si="151"/>
        <v>0</v>
      </c>
      <c r="L392" s="115">
        <f t="shared" si="151"/>
        <v>0</v>
      </c>
      <c r="M392" s="115">
        <f t="shared" si="151"/>
        <v>0</v>
      </c>
      <c r="N392" s="115">
        <f t="shared" si="151"/>
        <v>0</v>
      </c>
      <c r="O392" s="115">
        <f t="shared" si="151"/>
        <v>0</v>
      </c>
      <c r="P392" s="115">
        <f t="shared" si="151"/>
        <v>0</v>
      </c>
      <c r="Q392" s="115">
        <f t="shared" si="151"/>
        <v>0</v>
      </c>
    </row>
    <row r="393" spans="1:17" s="36" customFormat="1" x14ac:dyDescent="0.25">
      <c r="A393" s="111">
        <f t="shared" si="152"/>
        <v>2200</v>
      </c>
      <c r="B393" s="111" t="str">
        <f t="shared" si="152"/>
        <v>Lunch Leader/Nutrition</v>
      </c>
      <c r="D393" s="115">
        <f t="shared" si="150"/>
        <v>11830</v>
      </c>
      <c r="F393" s="115">
        <f t="shared" si="151"/>
        <v>0</v>
      </c>
      <c r="G393" s="115">
        <f t="shared" si="151"/>
        <v>0</v>
      </c>
      <c r="H393" s="115">
        <f t="shared" si="151"/>
        <v>0</v>
      </c>
      <c r="I393" s="115">
        <f t="shared" si="151"/>
        <v>0</v>
      </c>
      <c r="J393" s="115">
        <f t="shared" si="151"/>
        <v>0</v>
      </c>
      <c r="K393" s="115">
        <f t="shared" si="151"/>
        <v>0</v>
      </c>
      <c r="L393" s="115">
        <f t="shared" si="151"/>
        <v>0</v>
      </c>
      <c r="M393" s="115">
        <f t="shared" si="151"/>
        <v>0</v>
      </c>
      <c r="N393" s="115">
        <f t="shared" si="151"/>
        <v>0</v>
      </c>
      <c r="O393" s="115">
        <f t="shared" si="151"/>
        <v>0</v>
      </c>
      <c r="P393" s="115">
        <f t="shared" si="151"/>
        <v>0</v>
      </c>
      <c r="Q393" s="115">
        <f t="shared" si="151"/>
        <v>0</v>
      </c>
    </row>
    <row r="394" spans="1:17" s="36" customFormat="1" x14ac:dyDescent="0.25">
      <c r="A394" s="111">
        <f t="shared" si="152"/>
        <v>2200</v>
      </c>
      <c r="B394" s="111" t="str">
        <f t="shared" si="152"/>
        <v>Lunch Leader/Nutrition</v>
      </c>
      <c r="D394" s="115">
        <f t="shared" si="150"/>
        <v>11830</v>
      </c>
      <c r="F394" s="115">
        <f t="shared" si="151"/>
        <v>0</v>
      </c>
      <c r="G394" s="115">
        <f t="shared" si="151"/>
        <v>0</v>
      </c>
      <c r="H394" s="115">
        <f t="shared" si="151"/>
        <v>0</v>
      </c>
      <c r="I394" s="115">
        <f t="shared" si="151"/>
        <v>0</v>
      </c>
      <c r="J394" s="115">
        <f t="shared" si="151"/>
        <v>0</v>
      </c>
      <c r="K394" s="115">
        <f t="shared" si="151"/>
        <v>0</v>
      </c>
      <c r="L394" s="115">
        <f t="shared" si="151"/>
        <v>0</v>
      </c>
      <c r="M394" s="115">
        <f t="shared" si="151"/>
        <v>0</v>
      </c>
      <c r="N394" s="115">
        <f t="shared" si="151"/>
        <v>0</v>
      </c>
      <c r="O394" s="115">
        <f t="shared" si="151"/>
        <v>0</v>
      </c>
      <c r="P394" s="115">
        <f t="shared" si="151"/>
        <v>0</v>
      </c>
      <c r="Q394" s="115">
        <f t="shared" si="151"/>
        <v>0</v>
      </c>
    </row>
    <row r="395" spans="1:17" s="36" customFormat="1" x14ac:dyDescent="0.25">
      <c r="A395" s="111">
        <f t="shared" si="152"/>
        <v>2200</v>
      </c>
      <c r="B395" s="111" t="str">
        <f t="shared" si="152"/>
        <v>Lunch Leader/Nutrition</v>
      </c>
      <c r="D395" s="115">
        <f t="shared" si="150"/>
        <v>11830</v>
      </c>
      <c r="F395" s="115">
        <f t="shared" si="151"/>
        <v>0</v>
      </c>
      <c r="G395" s="115">
        <f t="shared" si="151"/>
        <v>0</v>
      </c>
      <c r="H395" s="115">
        <f t="shared" si="151"/>
        <v>0</v>
      </c>
      <c r="I395" s="115">
        <f t="shared" si="151"/>
        <v>0</v>
      </c>
      <c r="J395" s="115">
        <f t="shared" si="151"/>
        <v>0</v>
      </c>
      <c r="K395" s="115">
        <f t="shared" si="151"/>
        <v>0</v>
      </c>
      <c r="L395" s="115">
        <f t="shared" si="151"/>
        <v>0</v>
      </c>
      <c r="M395" s="115">
        <f t="shared" si="151"/>
        <v>0</v>
      </c>
      <c r="N395" s="115">
        <f t="shared" si="151"/>
        <v>0</v>
      </c>
      <c r="O395" s="115">
        <f t="shared" si="151"/>
        <v>0</v>
      </c>
      <c r="P395" s="115">
        <f t="shared" si="151"/>
        <v>0</v>
      </c>
      <c r="Q395" s="115">
        <f t="shared" si="151"/>
        <v>0</v>
      </c>
    </row>
    <row r="396" spans="1:17" s="36" customFormat="1" x14ac:dyDescent="0.25">
      <c r="A396" s="111">
        <f t="shared" si="152"/>
        <v>2200</v>
      </c>
      <c r="B396" s="111" t="str">
        <f t="shared" si="152"/>
        <v>Housekeeping/Maintenance</v>
      </c>
      <c r="D396" s="115">
        <f t="shared" si="150"/>
        <v>11830</v>
      </c>
      <c r="F396" s="115">
        <f t="shared" ref="F396:Q411" si="153">$D396*(1+E$5)*F268</f>
        <v>0</v>
      </c>
      <c r="G396" s="115">
        <f t="shared" si="153"/>
        <v>0</v>
      </c>
      <c r="H396" s="115">
        <f t="shared" si="153"/>
        <v>0</v>
      </c>
      <c r="I396" s="115">
        <f t="shared" si="153"/>
        <v>0</v>
      </c>
      <c r="J396" s="115">
        <f t="shared" si="153"/>
        <v>0</v>
      </c>
      <c r="K396" s="115">
        <f t="shared" si="153"/>
        <v>12776.400000000001</v>
      </c>
      <c r="L396" s="115">
        <f t="shared" si="153"/>
        <v>13013.000000000002</v>
      </c>
      <c r="M396" s="115">
        <f t="shared" si="153"/>
        <v>13249.6</v>
      </c>
      <c r="N396" s="115">
        <f t="shared" si="153"/>
        <v>13486.2</v>
      </c>
      <c r="O396" s="115">
        <f t="shared" si="153"/>
        <v>13722.8</v>
      </c>
      <c r="P396" s="115">
        <f t="shared" si="153"/>
        <v>13959.4</v>
      </c>
      <c r="Q396" s="115">
        <f t="shared" si="153"/>
        <v>14196</v>
      </c>
    </row>
    <row r="397" spans="1:17" s="36" customFormat="1" x14ac:dyDescent="0.25">
      <c r="A397" s="111">
        <f t="shared" ref="A397:B409" si="154">A269</f>
        <v>2200</v>
      </c>
      <c r="B397" s="111" t="str">
        <f t="shared" si="154"/>
        <v>Housekeeping/Maintenance</v>
      </c>
      <c r="D397" s="115">
        <f t="shared" si="150"/>
        <v>11830</v>
      </c>
      <c r="F397" s="115">
        <f t="shared" si="153"/>
        <v>0</v>
      </c>
      <c r="G397" s="115">
        <f t="shared" si="153"/>
        <v>0</v>
      </c>
      <c r="H397" s="115">
        <f t="shared" si="153"/>
        <v>0</v>
      </c>
      <c r="I397" s="115">
        <f t="shared" si="153"/>
        <v>0</v>
      </c>
      <c r="J397" s="115">
        <f t="shared" si="153"/>
        <v>0</v>
      </c>
      <c r="K397" s="115">
        <f t="shared" si="153"/>
        <v>0</v>
      </c>
      <c r="L397" s="115">
        <f t="shared" si="153"/>
        <v>0</v>
      </c>
      <c r="M397" s="115">
        <f t="shared" si="153"/>
        <v>6624.8</v>
      </c>
      <c r="N397" s="115">
        <f t="shared" si="153"/>
        <v>13486.2</v>
      </c>
      <c r="O397" s="115">
        <f t="shared" si="153"/>
        <v>13722.8</v>
      </c>
      <c r="P397" s="115">
        <f t="shared" si="153"/>
        <v>13959.4</v>
      </c>
      <c r="Q397" s="115">
        <f t="shared" si="153"/>
        <v>14196</v>
      </c>
    </row>
    <row r="398" spans="1:17" s="36" customFormat="1" x14ac:dyDescent="0.25">
      <c r="A398" s="111">
        <f t="shared" si="154"/>
        <v>2200</v>
      </c>
      <c r="B398" s="111" t="str">
        <f t="shared" si="154"/>
        <v>Housekeeping/Maintenance</v>
      </c>
      <c r="D398" s="115">
        <f t="shared" si="150"/>
        <v>11830</v>
      </c>
      <c r="F398" s="115">
        <f t="shared" si="153"/>
        <v>0</v>
      </c>
      <c r="G398" s="115">
        <f t="shared" si="153"/>
        <v>0</v>
      </c>
      <c r="H398" s="115">
        <f t="shared" si="153"/>
        <v>0</v>
      </c>
      <c r="I398" s="115">
        <f t="shared" si="153"/>
        <v>0</v>
      </c>
      <c r="J398" s="115">
        <f t="shared" si="153"/>
        <v>0</v>
      </c>
      <c r="K398" s="115">
        <f t="shared" si="153"/>
        <v>0</v>
      </c>
      <c r="L398" s="115">
        <f t="shared" si="153"/>
        <v>0</v>
      </c>
      <c r="M398" s="115">
        <f t="shared" si="153"/>
        <v>0</v>
      </c>
      <c r="N398" s="115">
        <f t="shared" si="153"/>
        <v>0</v>
      </c>
      <c r="O398" s="115">
        <f t="shared" si="153"/>
        <v>0</v>
      </c>
      <c r="P398" s="115">
        <f t="shared" si="153"/>
        <v>0</v>
      </c>
      <c r="Q398" s="115">
        <f t="shared" si="153"/>
        <v>0</v>
      </c>
    </row>
    <row r="399" spans="1:17" s="36" customFormat="1" x14ac:dyDescent="0.25">
      <c r="A399" s="111">
        <f t="shared" si="154"/>
        <v>2200</v>
      </c>
      <c r="B399" s="111" t="str">
        <f t="shared" si="154"/>
        <v>Housekeeping/Maintenance</v>
      </c>
      <c r="D399" s="115">
        <f t="shared" si="150"/>
        <v>11830</v>
      </c>
      <c r="F399" s="115">
        <f t="shared" si="153"/>
        <v>0</v>
      </c>
      <c r="G399" s="115">
        <f t="shared" si="153"/>
        <v>0</v>
      </c>
      <c r="H399" s="115">
        <f t="shared" si="153"/>
        <v>0</v>
      </c>
      <c r="I399" s="115">
        <f t="shared" si="153"/>
        <v>0</v>
      </c>
      <c r="J399" s="115">
        <f t="shared" si="153"/>
        <v>0</v>
      </c>
      <c r="K399" s="115">
        <f t="shared" si="153"/>
        <v>0</v>
      </c>
      <c r="L399" s="115">
        <f t="shared" si="153"/>
        <v>0</v>
      </c>
      <c r="M399" s="115">
        <f t="shared" si="153"/>
        <v>0</v>
      </c>
      <c r="N399" s="115">
        <f t="shared" si="153"/>
        <v>0</v>
      </c>
      <c r="O399" s="115">
        <f t="shared" si="153"/>
        <v>0</v>
      </c>
      <c r="P399" s="115">
        <f t="shared" si="153"/>
        <v>0</v>
      </c>
      <c r="Q399" s="115">
        <f t="shared" si="153"/>
        <v>0</v>
      </c>
    </row>
    <row r="400" spans="1:17" s="36" customFormat="1" x14ac:dyDescent="0.25">
      <c r="A400" s="111">
        <f t="shared" si="154"/>
        <v>2200</v>
      </c>
      <c r="B400" s="111" t="str">
        <f t="shared" si="154"/>
        <v>Housekeeping/Maintenance</v>
      </c>
      <c r="D400" s="115">
        <f t="shared" si="150"/>
        <v>11830</v>
      </c>
      <c r="F400" s="115">
        <f t="shared" si="153"/>
        <v>0</v>
      </c>
      <c r="G400" s="115">
        <f t="shared" si="153"/>
        <v>0</v>
      </c>
      <c r="H400" s="115">
        <f t="shared" si="153"/>
        <v>0</v>
      </c>
      <c r="I400" s="115">
        <f t="shared" si="153"/>
        <v>0</v>
      </c>
      <c r="J400" s="115">
        <f t="shared" si="153"/>
        <v>0</v>
      </c>
      <c r="K400" s="115">
        <f t="shared" si="153"/>
        <v>0</v>
      </c>
      <c r="L400" s="115">
        <f t="shared" si="153"/>
        <v>0</v>
      </c>
      <c r="M400" s="115">
        <f t="shared" si="153"/>
        <v>0</v>
      </c>
      <c r="N400" s="115">
        <f t="shared" si="153"/>
        <v>0</v>
      </c>
      <c r="O400" s="115">
        <f t="shared" si="153"/>
        <v>0</v>
      </c>
      <c r="P400" s="115">
        <f t="shared" si="153"/>
        <v>0</v>
      </c>
      <c r="Q400" s="115">
        <f t="shared" si="153"/>
        <v>0</v>
      </c>
    </row>
    <row r="401" spans="1:17" s="36" customFormat="1" x14ac:dyDescent="0.25">
      <c r="A401" s="111">
        <f t="shared" si="154"/>
        <v>1110</v>
      </c>
      <c r="B401" s="111" t="str">
        <f t="shared" si="154"/>
        <v>ELA 9th</v>
      </c>
      <c r="D401" s="115">
        <f t="shared" si="150"/>
        <v>52000</v>
      </c>
      <c r="F401" s="115" t="e">
        <f t="shared" si="153"/>
        <v>#REF!</v>
      </c>
      <c r="G401" s="115" t="e">
        <f t="shared" si="153"/>
        <v>#REF!</v>
      </c>
      <c r="H401" s="115" t="e">
        <f t="shared" si="153"/>
        <v>#REF!</v>
      </c>
      <c r="I401" s="115" t="e">
        <f t="shared" si="153"/>
        <v>#REF!</v>
      </c>
      <c r="J401" s="115" t="e">
        <f t="shared" si="153"/>
        <v>#REF!</v>
      </c>
      <c r="K401" s="115" t="e">
        <f t="shared" si="153"/>
        <v>#REF!</v>
      </c>
      <c r="L401" s="115" t="e">
        <f t="shared" si="153"/>
        <v>#REF!</v>
      </c>
      <c r="M401" s="115" t="e">
        <f t="shared" si="153"/>
        <v>#REF!</v>
      </c>
      <c r="N401" s="115" t="e">
        <f t="shared" si="153"/>
        <v>#REF!</v>
      </c>
      <c r="O401" s="115" t="e">
        <f t="shared" si="153"/>
        <v>#REF!</v>
      </c>
      <c r="P401" s="115" t="e">
        <f t="shared" si="153"/>
        <v>#REF!</v>
      </c>
      <c r="Q401" s="115" t="e">
        <f t="shared" si="153"/>
        <v>#REF!</v>
      </c>
    </row>
    <row r="402" spans="1:17" s="36" customFormat="1" x14ac:dyDescent="0.25">
      <c r="A402" s="111">
        <f t="shared" si="154"/>
        <v>1110</v>
      </c>
      <c r="B402" s="111" t="str">
        <f t="shared" si="154"/>
        <v xml:space="preserve">ELA 10th </v>
      </c>
      <c r="D402" s="115">
        <f t="shared" si="150"/>
        <v>52000</v>
      </c>
      <c r="F402" s="115" t="e">
        <f t="shared" si="153"/>
        <v>#REF!</v>
      </c>
      <c r="G402" s="115" t="e">
        <f t="shared" si="153"/>
        <v>#REF!</v>
      </c>
      <c r="H402" s="115" t="e">
        <f t="shared" si="153"/>
        <v>#REF!</v>
      </c>
      <c r="I402" s="115" t="e">
        <f t="shared" si="153"/>
        <v>#REF!</v>
      </c>
      <c r="J402" s="115" t="e">
        <f t="shared" si="153"/>
        <v>#REF!</v>
      </c>
      <c r="K402" s="115" t="e">
        <f t="shared" si="153"/>
        <v>#REF!</v>
      </c>
      <c r="L402" s="115" t="e">
        <f t="shared" si="153"/>
        <v>#REF!</v>
      </c>
      <c r="M402" s="115" t="e">
        <f t="shared" si="153"/>
        <v>#REF!</v>
      </c>
      <c r="N402" s="115" t="e">
        <f t="shared" si="153"/>
        <v>#REF!</v>
      </c>
      <c r="O402" s="115" t="e">
        <f t="shared" si="153"/>
        <v>#REF!</v>
      </c>
      <c r="P402" s="115" t="e">
        <f t="shared" si="153"/>
        <v>#REF!</v>
      </c>
      <c r="Q402" s="115" t="e">
        <f t="shared" si="153"/>
        <v>#REF!</v>
      </c>
    </row>
    <row r="403" spans="1:17" s="36" customFormat="1" x14ac:dyDescent="0.25">
      <c r="A403" s="111">
        <f t="shared" si="154"/>
        <v>1110</v>
      </c>
      <c r="B403" s="111" t="str">
        <f t="shared" si="154"/>
        <v xml:space="preserve">ELA 11th </v>
      </c>
      <c r="D403" s="115">
        <f t="shared" si="150"/>
        <v>52000</v>
      </c>
      <c r="F403" s="115">
        <f t="shared" si="153"/>
        <v>52000</v>
      </c>
      <c r="G403" s="115">
        <f t="shared" si="153"/>
        <v>52000</v>
      </c>
      <c r="H403" s="115">
        <f t="shared" si="153"/>
        <v>53040</v>
      </c>
      <c r="I403" s="115">
        <f t="shared" si="153"/>
        <v>54080</v>
      </c>
      <c r="J403" s="115">
        <f t="shared" si="153"/>
        <v>55120</v>
      </c>
      <c r="K403" s="115">
        <f t="shared" si="153"/>
        <v>56160.000000000007</v>
      </c>
      <c r="L403" s="115">
        <f t="shared" si="153"/>
        <v>57200.000000000007</v>
      </c>
      <c r="M403" s="115">
        <f t="shared" si="153"/>
        <v>58240.000000000007</v>
      </c>
      <c r="N403" s="115">
        <f t="shared" si="153"/>
        <v>59280.000000000007</v>
      </c>
      <c r="O403" s="115">
        <f t="shared" si="153"/>
        <v>60319.999999999993</v>
      </c>
      <c r="P403" s="115">
        <f t="shared" si="153"/>
        <v>61360</v>
      </c>
      <c r="Q403" s="115">
        <f t="shared" si="153"/>
        <v>62400</v>
      </c>
    </row>
    <row r="404" spans="1:17" s="36" customFormat="1" x14ac:dyDescent="0.25">
      <c r="A404" s="111">
        <f t="shared" si="154"/>
        <v>1110</v>
      </c>
      <c r="B404" s="111" t="str">
        <f t="shared" si="154"/>
        <v xml:space="preserve">ELA 12th </v>
      </c>
      <c r="D404" s="115">
        <f t="shared" si="150"/>
        <v>52000</v>
      </c>
      <c r="F404" s="115">
        <f t="shared" si="153"/>
        <v>52000</v>
      </c>
      <c r="G404" s="115">
        <f t="shared" si="153"/>
        <v>52000</v>
      </c>
      <c r="H404" s="115">
        <f t="shared" si="153"/>
        <v>53040</v>
      </c>
      <c r="I404" s="115">
        <f t="shared" si="153"/>
        <v>54080</v>
      </c>
      <c r="J404" s="115">
        <f t="shared" si="153"/>
        <v>55120</v>
      </c>
      <c r="K404" s="115">
        <f t="shared" si="153"/>
        <v>56160.000000000007</v>
      </c>
      <c r="L404" s="115">
        <f t="shared" si="153"/>
        <v>57200.000000000007</v>
      </c>
      <c r="M404" s="115">
        <f t="shared" si="153"/>
        <v>58240.000000000007</v>
      </c>
      <c r="N404" s="115">
        <f t="shared" si="153"/>
        <v>59280.000000000007</v>
      </c>
      <c r="O404" s="115">
        <f t="shared" si="153"/>
        <v>60319.999999999993</v>
      </c>
      <c r="P404" s="115">
        <f t="shared" si="153"/>
        <v>61360</v>
      </c>
      <c r="Q404" s="115">
        <f t="shared" si="153"/>
        <v>62400</v>
      </c>
    </row>
    <row r="405" spans="1:17" s="36" customFormat="1" x14ac:dyDescent="0.25">
      <c r="A405" s="111">
        <f t="shared" si="154"/>
        <v>1110</v>
      </c>
      <c r="B405" s="111" t="str">
        <f t="shared" si="154"/>
        <v xml:space="preserve">Math 9th </v>
      </c>
      <c r="D405" s="115">
        <f t="shared" si="150"/>
        <v>52000</v>
      </c>
      <c r="F405" s="115" t="e">
        <f t="shared" si="153"/>
        <v>#REF!</v>
      </c>
      <c r="G405" s="115" t="e">
        <f t="shared" si="153"/>
        <v>#REF!</v>
      </c>
      <c r="H405" s="115" t="e">
        <f t="shared" si="153"/>
        <v>#REF!</v>
      </c>
      <c r="I405" s="115" t="e">
        <f t="shared" si="153"/>
        <v>#REF!</v>
      </c>
      <c r="J405" s="115" t="e">
        <f t="shared" si="153"/>
        <v>#REF!</v>
      </c>
      <c r="K405" s="115" t="e">
        <f t="shared" si="153"/>
        <v>#REF!</v>
      </c>
      <c r="L405" s="115" t="e">
        <f t="shared" si="153"/>
        <v>#REF!</v>
      </c>
      <c r="M405" s="115" t="e">
        <f t="shared" si="153"/>
        <v>#REF!</v>
      </c>
      <c r="N405" s="115" t="e">
        <f t="shared" si="153"/>
        <v>#REF!</v>
      </c>
      <c r="O405" s="115" t="e">
        <f t="shared" si="153"/>
        <v>#REF!</v>
      </c>
      <c r="P405" s="115" t="e">
        <f t="shared" si="153"/>
        <v>#REF!</v>
      </c>
      <c r="Q405" s="115" t="e">
        <f t="shared" si="153"/>
        <v>#REF!</v>
      </c>
    </row>
    <row r="406" spans="1:17" s="36" customFormat="1" x14ac:dyDescent="0.25">
      <c r="A406" s="111">
        <f t="shared" si="154"/>
        <v>1110</v>
      </c>
      <c r="B406" s="111" t="str">
        <f t="shared" si="154"/>
        <v>Math 10th</v>
      </c>
      <c r="D406" s="115">
        <f t="shared" si="150"/>
        <v>52000</v>
      </c>
      <c r="F406" s="115" t="e">
        <f t="shared" si="153"/>
        <v>#REF!</v>
      </c>
      <c r="G406" s="115" t="e">
        <f t="shared" si="153"/>
        <v>#REF!</v>
      </c>
      <c r="H406" s="115" t="e">
        <f t="shared" si="153"/>
        <v>#REF!</v>
      </c>
      <c r="I406" s="115" t="e">
        <f t="shared" si="153"/>
        <v>#REF!</v>
      </c>
      <c r="J406" s="115" t="e">
        <f t="shared" si="153"/>
        <v>#REF!</v>
      </c>
      <c r="K406" s="115" t="e">
        <f t="shared" si="153"/>
        <v>#REF!</v>
      </c>
      <c r="L406" s="115" t="e">
        <f t="shared" si="153"/>
        <v>#REF!</v>
      </c>
      <c r="M406" s="115" t="e">
        <f t="shared" si="153"/>
        <v>#REF!</v>
      </c>
      <c r="N406" s="115" t="e">
        <f t="shared" si="153"/>
        <v>#REF!</v>
      </c>
      <c r="O406" s="115" t="e">
        <f t="shared" si="153"/>
        <v>#REF!</v>
      </c>
      <c r="P406" s="115" t="e">
        <f t="shared" si="153"/>
        <v>#REF!</v>
      </c>
      <c r="Q406" s="115" t="e">
        <f t="shared" si="153"/>
        <v>#REF!</v>
      </c>
    </row>
    <row r="407" spans="1:17" s="36" customFormat="1" x14ac:dyDescent="0.25">
      <c r="A407" s="111">
        <f t="shared" si="154"/>
        <v>1110</v>
      </c>
      <c r="B407" s="111" t="str">
        <f t="shared" si="154"/>
        <v xml:space="preserve">Math 11th </v>
      </c>
      <c r="D407" s="115">
        <f t="shared" si="150"/>
        <v>52000</v>
      </c>
      <c r="F407" s="115">
        <f t="shared" si="153"/>
        <v>52000</v>
      </c>
      <c r="G407" s="115">
        <f t="shared" si="153"/>
        <v>52000</v>
      </c>
      <c r="H407" s="115">
        <f t="shared" si="153"/>
        <v>53040</v>
      </c>
      <c r="I407" s="115">
        <f t="shared" si="153"/>
        <v>54080</v>
      </c>
      <c r="J407" s="115">
        <f t="shared" si="153"/>
        <v>55120</v>
      </c>
      <c r="K407" s="115">
        <f t="shared" si="153"/>
        <v>56160.000000000007</v>
      </c>
      <c r="L407" s="115">
        <f t="shared" si="153"/>
        <v>57200.000000000007</v>
      </c>
      <c r="M407" s="115">
        <f t="shared" si="153"/>
        <v>58240.000000000007</v>
      </c>
      <c r="N407" s="115">
        <f t="shared" si="153"/>
        <v>59280.000000000007</v>
      </c>
      <c r="O407" s="115">
        <f t="shared" si="153"/>
        <v>60319.999999999993</v>
      </c>
      <c r="P407" s="115">
        <f t="shared" si="153"/>
        <v>61360</v>
      </c>
      <c r="Q407" s="115">
        <f t="shared" si="153"/>
        <v>62400</v>
      </c>
    </row>
    <row r="408" spans="1:17" s="36" customFormat="1" x14ac:dyDescent="0.25">
      <c r="A408" s="111">
        <f t="shared" si="154"/>
        <v>1110</v>
      </c>
      <c r="B408" s="111" t="str">
        <f t="shared" si="154"/>
        <v xml:space="preserve">Math 12th </v>
      </c>
      <c r="D408" s="115">
        <f t="shared" si="150"/>
        <v>52000</v>
      </c>
      <c r="F408" s="115">
        <f t="shared" si="153"/>
        <v>52000</v>
      </c>
      <c r="G408" s="115">
        <f t="shared" si="153"/>
        <v>52000</v>
      </c>
      <c r="H408" s="115">
        <f t="shared" si="153"/>
        <v>53040</v>
      </c>
      <c r="I408" s="115">
        <f t="shared" si="153"/>
        <v>54080</v>
      </c>
      <c r="J408" s="115">
        <f t="shared" si="153"/>
        <v>55120</v>
      </c>
      <c r="K408" s="115">
        <f t="shared" si="153"/>
        <v>56160.000000000007</v>
      </c>
      <c r="L408" s="115">
        <f t="shared" si="153"/>
        <v>57200.000000000007</v>
      </c>
      <c r="M408" s="115">
        <f t="shared" si="153"/>
        <v>58240.000000000007</v>
      </c>
      <c r="N408" s="115">
        <f t="shared" si="153"/>
        <v>59280.000000000007</v>
      </c>
      <c r="O408" s="115">
        <f t="shared" si="153"/>
        <v>60319.999999999993</v>
      </c>
      <c r="P408" s="115">
        <f t="shared" si="153"/>
        <v>61360</v>
      </c>
      <c r="Q408" s="115">
        <f t="shared" si="153"/>
        <v>62400</v>
      </c>
    </row>
    <row r="409" spans="1:17" s="36" customFormat="1" x14ac:dyDescent="0.25">
      <c r="A409" s="111">
        <f>A281</f>
        <v>1110</v>
      </c>
      <c r="B409" s="111" t="str">
        <f t="shared" si="154"/>
        <v xml:space="preserve">Humanities 9th </v>
      </c>
      <c r="D409" s="115">
        <f t="shared" si="150"/>
        <v>52000</v>
      </c>
      <c r="F409" s="115" t="e">
        <f t="shared" si="153"/>
        <v>#REF!</v>
      </c>
      <c r="G409" s="115" t="e">
        <f t="shared" si="153"/>
        <v>#REF!</v>
      </c>
      <c r="H409" s="115" t="e">
        <f t="shared" si="153"/>
        <v>#REF!</v>
      </c>
      <c r="I409" s="115" t="e">
        <f t="shared" si="153"/>
        <v>#REF!</v>
      </c>
      <c r="J409" s="115" t="e">
        <f t="shared" si="153"/>
        <v>#REF!</v>
      </c>
      <c r="K409" s="115" t="e">
        <f t="shared" si="153"/>
        <v>#REF!</v>
      </c>
      <c r="L409" s="115" t="e">
        <f t="shared" si="153"/>
        <v>#REF!</v>
      </c>
      <c r="M409" s="115" t="e">
        <f t="shared" si="153"/>
        <v>#REF!</v>
      </c>
      <c r="N409" s="115" t="e">
        <f t="shared" si="153"/>
        <v>#REF!</v>
      </c>
      <c r="O409" s="115" t="e">
        <f t="shared" si="153"/>
        <v>#REF!</v>
      </c>
      <c r="P409" s="115" t="e">
        <f t="shared" si="153"/>
        <v>#REF!</v>
      </c>
      <c r="Q409" s="115" t="e">
        <f t="shared" si="153"/>
        <v>#REF!</v>
      </c>
    </row>
    <row r="410" spans="1:17" s="36" customFormat="1" x14ac:dyDescent="0.25">
      <c r="A410" s="111">
        <f t="shared" ref="A410:B425" si="155">A282</f>
        <v>1110</v>
      </c>
      <c r="B410" s="111" t="str">
        <f t="shared" si="155"/>
        <v>Humanities 10th</v>
      </c>
      <c r="D410" s="115">
        <f t="shared" si="150"/>
        <v>52000</v>
      </c>
      <c r="F410" s="115" t="e">
        <f t="shared" si="153"/>
        <v>#REF!</v>
      </c>
      <c r="G410" s="115" t="e">
        <f t="shared" si="153"/>
        <v>#REF!</v>
      </c>
      <c r="H410" s="115" t="e">
        <f t="shared" si="153"/>
        <v>#REF!</v>
      </c>
      <c r="I410" s="115" t="e">
        <f t="shared" si="153"/>
        <v>#REF!</v>
      </c>
      <c r="J410" s="115" t="e">
        <f t="shared" si="153"/>
        <v>#REF!</v>
      </c>
      <c r="K410" s="115" t="e">
        <f t="shared" si="153"/>
        <v>#REF!</v>
      </c>
      <c r="L410" s="115" t="e">
        <f t="shared" si="153"/>
        <v>#REF!</v>
      </c>
      <c r="M410" s="115" t="e">
        <f t="shared" si="153"/>
        <v>#REF!</v>
      </c>
      <c r="N410" s="115" t="e">
        <f t="shared" si="153"/>
        <v>#REF!</v>
      </c>
      <c r="O410" s="115" t="e">
        <f t="shared" si="153"/>
        <v>#REF!</v>
      </c>
      <c r="P410" s="115" t="e">
        <f t="shared" si="153"/>
        <v>#REF!</v>
      </c>
      <c r="Q410" s="115" t="e">
        <f t="shared" si="153"/>
        <v>#REF!</v>
      </c>
    </row>
    <row r="411" spans="1:17" s="36" customFormat="1" x14ac:dyDescent="0.25">
      <c r="A411" s="111">
        <f t="shared" si="155"/>
        <v>1110</v>
      </c>
      <c r="B411" s="111" t="str">
        <f t="shared" si="155"/>
        <v>Humanities 11th</v>
      </c>
      <c r="D411" s="115">
        <f t="shared" si="150"/>
        <v>52000</v>
      </c>
      <c r="F411" s="115">
        <f t="shared" si="153"/>
        <v>52000</v>
      </c>
      <c r="G411" s="115">
        <f t="shared" si="153"/>
        <v>52000</v>
      </c>
      <c r="H411" s="115">
        <f t="shared" si="153"/>
        <v>53040</v>
      </c>
      <c r="I411" s="115">
        <f t="shared" si="153"/>
        <v>54080</v>
      </c>
      <c r="J411" s="115">
        <f t="shared" si="153"/>
        <v>55120</v>
      </c>
      <c r="K411" s="115">
        <f t="shared" si="153"/>
        <v>56160.000000000007</v>
      </c>
      <c r="L411" s="115">
        <f t="shared" si="153"/>
        <v>57200.000000000007</v>
      </c>
      <c r="M411" s="115">
        <f t="shared" si="153"/>
        <v>58240.000000000007</v>
      </c>
      <c r="N411" s="115">
        <f t="shared" si="153"/>
        <v>59280.000000000007</v>
      </c>
      <c r="O411" s="115">
        <f t="shared" si="153"/>
        <v>60319.999999999993</v>
      </c>
      <c r="P411" s="115">
        <f t="shared" si="153"/>
        <v>61360</v>
      </c>
      <c r="Q411" s="115">
        <f t="shared" si="153"/>
        <v>62400</v>
      </c>
    </row>
    <row r="412" spans="1:17" s="36" customFormat="1" x14ac:dyDescent="0.25">
      <c r="A412" s="111">
        <f t="shared" si="155"/>
        <v>1110</v>
      </c>
      <c r="B412" s="111" t="str">
        <f t="shared" si="155"/>
        <v>Humanities 12th</v>
      </c>
      <c r="D412" s="115">
        <f t="shared" si="150"/>
        <v>52000</v>
      </c>
      <c r="F412" s="115">
        <f t="shared" ref="F412:Q427" si="156">$D412*(1+E$5)*F284</f>
        <v>52000</v>
      </c>
      <c r="G412" s="115">
        <f t="shared" si="156"/>
        <v>52000</v>
      </c>
      <c r="H412" s="115">
        <f t="shared" si="156"/>
        <v>53040</v>
      </c>
      <c r="I412" s="115">
        <f t="shared" si="156"/>
        <v>54080</v>
      </c>
      <c r="J412" s="115">
        <f t="shared" si="156"/>
        <v>55120</v>
      </c>
      <c r="K412" s="115">
        <f t="shared" si="156"/>
        <v>56160.000000000007</v>
      </c>
      <c r="L412" s="115">
        <f t="shared" si="156"/>
        <v>57200.000000000007</v>
      </c>
      <c r="M412" s="115">
        <f t="shared" si="156"/>
        <v>58240.000000000007</v>
      </c>
      <c r="N412" s="115">
        <f t="shared" si="156"/>
        <v>59280.000000000007</v>
      </c>
      <c r="O412" s="115">
        <f t="shared" si="156"/>
        <v>60319.999999999993</v>
      </c>
      <c r="P412" s="115">
        <f t="shared" si="156"/>
        <v>61360</v>
      </c>
      <c r="Q412" s="115">
        <f t="shared" si="156"/>
        <v>62400</v>
      </c>
    </row>
    <row r="413" spans="1:17" s="36" customFormat="1" x14ac:dyDescent="0.25">
      <c r="A413" s="111">
        <f t="shared" si="155"/>
        <v>1110</v>
      </c>
      <c r="B413" s="111" t="str">
        <f t="shared" si="155"/>
        <v>Foreign Language - Spanish</v>
      </c>
      <c r="D413" s="115">
        <f t="shared" si="150"/>
        <v>52000</v>
      </c>
      <c r="F413" s="115" t="e">
        <f t="shared" si="156"/>
        <v>#REF!</v>
      </c>
      <c r="G413" s="115" t="e">
        <f t="shared" si="156"/>
        <v>#REF!</v>
      </c>
      <c r="H413" s="115" t="e">
        <f t="shared" si="156"/>
        <v>#REF!</v>
      </c>
      <c r="I413" s="115" t="e">
        <f t="shared" si="156"/>
        <v>#REF!</v>
      </c>
      <c r="J413" s="115" t="e">
        <f t="shared" si="156"/>
        <v>#REF!</v>
      </c>
      <c r="K413" s="115" t="e">
        <f t="shared" si="156"/>
        <v>#REF!</v>
      </c>
      <c r="L413" s="115" t="e">
        <f t="shared" si="156"/>
        <v>#REF!</v>
      </c>
      <c r="M413" s="115" t="e">
        <f t="shared" si="156"/>
        <v>#REF!</v>
      </c>
      <c r="N413" s="115" t="e">
        <f t="shared" si="156"/>
        <v>#REF!</v>
      </c>
      <c r="O413" s="115" t="e">
        <f t="shared" si="156"/>
        <v>#REF!</v>
      </c>
      <c r="P413" s="115" t="e">
        <f t="shared" si="156"/>
        <v>#REF!</v>
      </c>
      <c r="Q413" s="115" t="e">
        <f t="shared" si="156"/>
        <v>#REF!</v>
      </c>
    </row>
    <row r="414" spans="1:17" s="36" customFormat="1" x14ac:dyDescent="0.25">
      <c r="A414" s="111">
        <f t="shared" si="155"/>
        <v>1110</v>
      </c>
      <c r="B414" s="111" t="str">
        <f t="shared" si="155"/>
        <v>Foreign Language - French</v>
      </c>
      <c r="D414" s="115">
        <f t="shared" si="150"/>
        <v>52000</v>
      </c>
      <c r="F414" s="115" t="e">
        <f t="shared" si="156"/>
        <v>#REF!</v>
      </c>
      <c r="G414" s="115" t="e">
        <f t="shared" si="156"/>
        <v>#REF!</v>
      </c>
      <c r="H414" s="115" t="e">
        <f t="shared" si="156"/>
        <v>#REF!</v>
      </c>
      <c r="I414" s="115" t="e">
        <f t="shared" si="156"/>
        <v>#REF!</v>
      </c>
      <c r="J414" s="115" t="e">
        <f t="shared" si="156"/>
        <v>#REF!</v>
      </c>
      <c r="K414" s="115" t="e">
        <f t="shared" si="156"/>
        <v>#REF!</v>
      </c>
      <c r="L414" s="115" t="e">
        <f t="shared" si="156"/>
        <v>#REF!</v>
      </c>
      <c r="M414" s="115" t="e">
        <f t="shared" si="156"/>
        <v>#REF!</v>
      </c>
      <c r="N414" s="115" t="e">
        <f t="shared" si="156"/>
        <v>#REF!</v>
      </c>
      <c r="O414" s="115" t="e">
        <f t="shared" si="156"/>
        <v>#REF!</v>
      </c>
      <c r="P414" s="115" t="e">
        <f t="shared" si="156"/>
        <v>#REF!</v>
      </c>
      <c r="Q414" s="115" t="e">
        <f t="shared" si="156"/>
        <v>#REF!</v>
      </c>
    </row>
    <row r="415" spans="1:17" s="36" customFormat="1" x14ac:dyDescent="0.25">
      <c r="A415" s="111">
        <f t="shared" si="155"/>
        <v>1110</v>
      </c>
      <c r="B415" s="111" t="str">
        <f t="shared" si="155"/>
        <v>HS Visual Performing Arts</v>
      </c>
      <c r="D415" s="115">
        <f t="shared" si="150"/>
        <v>52000</v>
      </c>
      <c r="F415" s="115" t="e">
        <f t="shared" si="156"/>
        <v>#REF!</v>
      </c>
      <c r="G415" s="115" t="e">
        <f t="shared" si="156"/>
        <v>#REF!</v>
      </c>
      <c r="H415" s="115" t="e">
        <f t="shared" si="156"/>
        <v>#REF!</v>
      </c>
      <c r="I415" s="115" t="e">
        <f t="shared" si="156"/>
        <v>#REF!</v>
      </c>
      <c r="J415" s="115" t="e">
        <f t="shared" si="156"/>
        <v>#REF!</v>
      </c>
      <c r="K415" s="115" t="e">
        <f t="shared" si="156"/>
        <v>#REF!</v>
      </c>
      <c r="L415" s="115" t="e">
        <f t="shared" si="156"/>
        <v>#REF!</v>
      </c>
      <c r="M415" s="115" t="e">
        <f t="shared" si="156"/>
        <v>#REF!</v>
      </c>
      <c r="N415" s="115" t="e">
        <f t="shared" si="156"/>
        <v>#REF!</v>
      </c>
      <c r="O415" s="115" t="e">
        <f t="shared" si="156"/>
        <v>#REF!</v>
      </c>
      <c r="P415" s="115" t="e">
        <f t="shared" si="156"/>
        <v>#REF!</v>
      </c>
      <c r="Q415" s="115" t="e">
        <f t="shared" si="156"/>
        <v>#REF!</v>
      </c>
    </row>
    <row r="416" spans="1:17" s="36" customFormat="1" x14ac:dyDescent="0.25">
      <c r="A416" s="111">
        <f t="shared" si="155"/>
        <v>1110</v>
      </c>
      <c r="B416" s="111" t="str">
        <f t="shared" si="155"/>
        <v>HS Visual Performing Arts</v>
      </c>
      <c r="D416" s="115">
        <f t="shared" si="150"/>
        <v>52000</v>
      </c>
      <c r="F416" s="115" t="e">
        <f t="shared" si="156"/>
        <v>#REF!</v>
      </c>
      <c r="G416" s="115" t="e">
        <f t="shared" si="156"/>
        <v>#REF!</v>
      </c>
      <c r="H416" s="115" t="e">
        <f t="shared" si="156"/>
        <v>#REF!</v>
      </c>
      <c r="I416" s="115" t="e">
        <f t="shared" si="156"/>
        <v>#REF!</v>
      </c>
      <c r="J416" s="115" t="e">
        <f t="shared" si="156"/>
        <v>#REF!</v>
      </c>
      <c r="K416" s="115" t="e">
        <f t="shared" si="156"/>
        <v>#REF!</v>
      </c>
      <c r="L416" s="115" t="e">
        <f t="shared" si="156"/>
        <v>#REF!</v>
      </c>
      <c r="M416" s="115" t="e">
        <f t="shared" si="156"/>
        <v>#REF!</v>
      </c>
      <c r="N416" s="115" t="e">
        <f t="shared" si="156"/>
        <v>#REF!</v>
      </c>
      <c r="O416" s="115" t="e">
        <f t="shared" si="156"/>
        <v>#REF!</v>
      </c>
      <c r="P416" s="115" t="e">
        <f t="shared" si="156"/>
        <v>#REF!</v>
      </c>
      <c r="Q416" s="115" t="e">
        <f t="shared" si="156"/>
        <v>#REF!</v>
      </c>
    </row>
    <row r="417" spans="1:17" s="36" customFormat="1" x14ac:dyDescent="0.25">
      <c r="A417" s="111">
        <f t="shared" si="155"/>
        <v>1110</v>
      </c>
      <c r="B417" s="111" t="str">
        <f t="shared" si="155"/>
        <v xml:space="preserve">HS PE </v>
      </c>
      <c r="D417" s="115">
        <f t="shared" si="150"/>
        <v>52000</v>
      </c>
      <c r="F417" s="115" t="e">
        <f t="shared" si="156"/>
        <v>#REF!</v>
      </c>
      <c r="G417" s="115" t="e">
        <f t="shared" si="156"/>
        <v>#REF!</v>
      </c>
      <c r="H417" s="115" t="e">
        <f t="shared" si="156"/>
        <v>#REF!</v>
      </c>
      <c r="I417" s="115" t="e">
        <f t="shared" si="156"/>
        <v>#REF!</v>
      </c>
      <c r="J417" s="115" t="e">
        <f t="shared" si="156"/>
        <v>#REF!</v>
      </c>
      <c r="K417" s="115" t="e">
        <f t="shared" si="156"/>
        <v>#REF!</v>
      </c>
      <c r="L417" s="115" t="e">
        <f t="shared" si="156"/>
        <v>#REF!</v>
      </c>
      <c r="M417" s="115" t="e">
        <f t="shared" si="156"/>
        <v>#REF!</v>
      </c>
      <c r="N417" s="115" t="e">
        <f t="shared" si="156"/>
        <v>#REF!</v>
      </c>
      <c r="O417" s="115" t="e">
        <f t="shared" si="156"/>
        <v>#REF!</v>
      </c>
      <c r="P417" s="115" t="e">
        <f t="shared" si="156"/>
        <v>#REF!</v>
      </c>
      <c r="Q417" s="115" t="e">
        <f t="shared" si="156"/>
        <v>#REF!</v>
      </c>
    </row>
    <row r="418" spans="1:17" s="36" customFormat="1" x14ac:dyDescent="0.25">
      <c r="A418" s="111">
        <f t="shared" si="155"/>
        <v>1110</v>
      </c>
      <c r="B418" s="111" t="str">
        <f t="shared" si="155"/>
        <v xml:space="preserve">HS PE </v>
      </c>
      <c r="D418" s="115">
        <f t="shared" si="150"/>
        <v>52000</v>
      </c>
      <c r="F418" s="115">
        <f t="shared" si="156"/>
        <v>52000</v>
      </c>
      <c r="G418" s="115">
        <f t="shared" si="156"/>
        <v>52000</v>
      </c>
      <c r="H418" s="115">
        <f t="shared" si="156"/>
        <v>53040</v>
      </c>
      <c r="I418" s="115">
        <f t="shared" si="156"/>
        <v>54080</v>
      </c>
      <c r="J418" s="115">
        <f t="shared" si="156"/>
        <v>55120</v>
      </c>
      <c r="K418" s="115">
        <f t="shared" si="156"/>
        <v>56160.000000000007</v>
      </c>
      <c r="L418" s="115">
        <f t="shared" si="156"/>
        <v>57200.000000000007</v>
      </c>
      <c r="M418" s="115">
        <f t="shared" si="156"/>
        <v>58240.000000000007</v>
      </c>
      <c r="N418" s="115">
        <f t="shared" si="156"/>
        <v>59280.000000000007</v>
      </c>
      <c r="O418" s="115">
        <f t="shared" si="156"/>
        <v>60319.999999999993</v>
      </c>
      <c r="P418" s="115">
        <f t="shared" si="156"/>
        <v>61360</v>
      </c>
      <c r="Q418" s="115">
        <f t="shared" si="156"/>
        <v>62400</v>
      </c>
    </row>
    <row r="419" spans="1:17" s="36" customFormat="1" x14ac:dyDescent="0.25">
      <c r="A419" s="111">
        <f t="shared" si="155"/>
        <v>2300</v>
      </c>
      <c r="B419" s="111" t="str">
        <f t="shared" si="155"/>
        <v>High School Sport Director</v>
      </c>
      <c r="D419" s="115">
        <f t="shared" si="150"/>
        <v>52000</v>
      </c>
      <c r="F419" s="115" t="e">
        <f t="shared" si="156"/>
        <v>#REF!</v>
      </c>
      <c r="G419" s="115" t="e">
        <f t="shared" si="156"/>
        <v>#REF!</v>
      </c>
      <c r="H419" s="115" t="e">
        <f t="shared" si="156"/>
        <v>#REF!</v>
      </c>
      <c r="I419" s="115" t="e">
        <f t="shared" si="156"/>
        <v>#REF!</v>
      </c>
      <c r="J419" s="115" t="e">
        <f t="shared" si="156"/>
        <v>#REF!</v>
      </c>
      <c r="K419" s="115" t="e">
        <f t="shared" si="156"/>
        <v>#REF!</v>
      </c>
      <c r="L419" s="115" t="e">
        <f t="shared" si="156"/>
        <v>#REF!</v>
      </c>
      <c r="M419" s="115" t="e">
        <f t="shared" si="156"/>
        <v>#REF!</v>
      </c>
      <c r="N419" s="115" t="e">
        <f t="shared" si="156"/>
        <v>#REF!</v>
      </c>
      <c r="O419" s="115" t="e">
        <f t="shared" si="156"/>
        <v>#REF!</v>
      </c>
      <c r="P419" s="115" t="e">
        <f t="shared" si="156"/>
        <v>#REF!</v>
      </c>
      <c r="Q419" s="115" t="e">
        <f t="shared" si="156"/>
        <v>#REF!</v>
      </c>
    </row>
    <row r="420" spans="1:17" s="36" customFormat="1" x14ac:dyDescent="0.25">
      <c r="A420" s="111">
        <f t="shared" si="155"/>
        <v>2300</v>
      </c>
      <c r="B420" s="111" t="str">
        <f t="shared" si="155"/>
        <v>High School Sport Director</v>
      </c>
      <c r="D420" s="115">
        <f t="shared" si="150"/>
        <v>52000</v>
      </c>
      <c r="F420" s="115">
        <f t="shared" si="156"/>
        <v>52000</v>
      </c>
      <c r="G420" s="115">
        <f t="shared" si="156"/>
        <v>52000</v>
      </c>
      <c r="H420" s="115">
        <f t="shared" si="156"/>
        <v>53040</v>
      </c>
      <c r="I420" s="115">
        <f t="shared" si="156"/>
        <v>54080</v>
      </c>
      <c r="J420" s="115">
        <f t="shared" si="156"/>
        <v>55120</v>
      </c>
      <c r="K420" s="115">
        <f t="shared" si="156"/>
        <v>56160.000000000007</v>
      </c>
      <c r="L420" s="115">
        <f t="shared" si="156"/>
        <v>57200.000000000007</v>
      </c>
      <c r="M420" s="115">
        <f t="shared" si="156"/>
        <v>58240.000000000007</v>
      </c>
      <c r="N420" s="115">
        <f t="shared" si="156"/>
        <v>59280.000000000007</v>
      </c>
      <c r="O420" s="115">
        <f t="shared" si="156"/>
        <v>60319.999999999993</v>
      </c>
      <c r="P420" s="115">
        <f t="shared" si="156"/>
        <v>61360</v>
      </c>
      <c r="Q420" s="115">
        <f t="shared" si="156"/>
        <v>62400</v>
      </c>
    </row>
    <row r="421" spans="1:17" s="36" customFormat="1" x14ac:dyDescent="0.25">
      <c r="A421" s="111">
        <f t="shared" si="155"/>
        <v>2900</v>
      </c>
      <c r="B421" s="111" t="str">
        <f t="shared" si="155"/>
        <v>After School Program Director - Elem</v>
      </c>
      <c r="D421" s="115">
        <f t="shared" si="150"/>
        <v>33000</v>
      </c>
      <c r="F421" s="115">
        <f t="shared" si="156"/>
        <v>0</v>
      </c>
      <c r="G421" s="115">
        <f t="shared" si="156"/>
        <v>0</v>
      </c>
      <c r="H421" s="115">
        <f t="shared" si="156"/>
        <v>0</v>
      </c>
      <c r="I421" s="115">
        <f t="shared" si="156"/>
        <v>0</v>
      </c>
      <c r="J421" s="115">
        <f t="shared" si="156"/>
        <v>0</v>
      </c>
      <c r="K421" s="115">
        <f t="shared" si="156"/>
        <v>0</v>
      </c>
      <c r="L421" s="115">
        <f t="shared" si="156"/>
        <v>0</v>
      </c>
      <c r="M421" s="115">
        <f t="shared" si="156"/>
        <v>0</v>
      </c>
      <c r="N421" s="115">
        <f t="shared" si="156"/>
        <v>0</v>
      </c>
      <c r="O421" s="115">
        <f t="shared" si="156"/>
        <v>0</v>
      </c>
      <c r="P421" s="115">
        <f t="shared" si="156"/>
        <v>0</v>
      </c>
      <c r="Q421" s="115">
        <f t="shared" si="156"/>
        <v>0</v>
      </c>
    </row>
    <row r="422" spans="1:17" s="36" customFormat="1" x14ac:dyDescent="0.25">
      <c r="A422" s="111">
        <f t="shared" si="155"/>
        <v>2900</v>
      </c>
      <c r="B422" s="111" t="str">
        <f t="shared" si="155"/>
        <v>After School Program Director - Middle</v>
      </c>
      <c r="D422" s="115">
        <f t="shared" si="150"/>
        <v>33000</v>
      </c>
      <c r="F422" s="115">
        <f t="shared" si="156"/>
        <v>0</v>
      </c>
      <c r="G422" s="115">
        <f t="shared" si="156"/>
        <v>0</v>
      </c>
      <c r="H422" s="115">
        <f t="shared" si="156"/>
        <v>0</v>
      </c>
      <c r="I422" s="115">
        <f t="shared" si="156"/>
        <v>0</v>
      </c>
      <c r="J422" s="115">
        <f t="shared" si="156"/>
        <v>0</v>
      </c>
      <c r="K422" s="115">
        <f t="shared" si="156"/>
        <v>0</v>
      </c>
      <c r="L422" s="115">
        <f t="shared" si="156"/>
        <v>0</v>
      </c>
      <c r="M422" s="115">
        <f t="shared" si="156"/>
        <v>0</v>
      </c>
      <c r="N422" s="115">
        <f t="shared" si="156"/>
        <v>0</v>
      </c>
      <c r="O422" s="115">
        <f t="shared" si="156"/>
        <v>0</v>
      </c>
      <c r="P422" s="115">
        <f t="shared" si="156"/>
        <v>0</v>
      </c>
      <c r="Q422" s="115">
        <f t="shared" si="156"/>
        <v>0</v>
      </c>
    </row>
    <row r="423" spans="1:17" s="36" customFormat="1" x14ac:dyDescent="0.25">
      <c r="A423" s="111">
        <f t="shared" si="155"/>
        <v>2900</v>
      </c>
      <c r="B423" s="111" t="str">
        <f t="shared" si="155"/>
        <v>After School Program Leader</v>
      </c>
      <c r="D423" s="115">
        <f t="shared" si="150"/>
        <v>8140</v>
      </c>
      <c r="F423" s="115">
        <f t="shared" si="156"/>
        <v>0</v>
      </c>
      <c r="G423" s="115">
        <f t="shared" si="156"/>
        <v>0</v>
      </c>
      <c r="H423" s="115">
        <f t="shared" si="156"/>
        <v>0</v>
      </c>
      <c r="I423" s="115">
        <f t="shared" si="156"/>
        <v>0</v>
      </c>
      <c r="J423" s="115">
        <f t="shared" si="156"/>
        <v>0</v>
      </c>
      <c r="K423" s="115">
        <f t="shared" si="156"/>
        <v>0</v>
      </c>
      <c r="L423" s="115">
        <f t="shared" si="156"/>
        <v>0</v>
      </c>
      <c r="M423" s="115">
        <f t="shared" si="156"/>
        <v>0</v>
      </c>
      <c r="N423" s="115">
        <f t="shared" si="156"/>
        <v>0</v>
      </c>
      <c r="O423" s="115">
        <f t="shared" si="156"/>
        <v>0</v>
      </c>
      <c r="P423" s="115">
        <f t="shared" si="156"/>
        <v>0</v>
      </c>
      <c r="Q423" s="115">
        <f t="shared" si="156"/>
        <v>0</v>
      </c>
    </row>
    <row r="424" spans="1:17" s="36" customFormat="1" x14ac:dyDescent="0.25">
      <c r="A424" s="111">
        <f t="shared" si="155"/>
        <v>2900</v>
      </c>
      <c r="B424" s="111" t="str">
        <f t="shared" si="155"/>
        <v>After School Program Leader</v>
      </c>
      <c r="D424" s="115">
        <f t="shared" si="150"/>
        <v>8140</v>
      </c>
      <c r="F424" s="115">
        <f t="shared" si="156"/>
        <v>0</v>
      </c>
      <c r="G424" s="115">
        <f t="shared" si="156"/>
        <v>0</v>
      </c>
      <c r="H424" s="115">
        <f t="shared" si="156"/>
        <v>0</v>
      </c>
      <c r="I424" s="115">
        <f t="shared" si="156"/>
        <v>0</v>
      </c>
      <c r="J424" s="115">
        <f t="shared" si="156"/>
        <v>0</v>
      </c>
      <c r="K424" s="115">
        <f t="shared" si="156"/>
        <v>0</v>
      </c>
      <c r="L424" s="115">
        <f t="shared" si="156"/>
        <v>0</v>
      </c>
      <c r="M424" s="115">
        <f t="shared" si="156"/>
        <v>0</v>
      </c>
      <c r="N424" s="115">
        <f t="shared" si="156"/>
        <v>0</v>
      </c>
      <c r="O424" s="115">
        <f t="shared" si="156"/>
        <v>0</v>
      </c>
      <c r="P424" s="115">
        <f t="shared" si="156"/>
        <v>0</v>
      </c>
      <c r="Q424" s="115">
        <f t="shared" si="156"/>
        <v>0</v>
      </c>
    </row>
    <row r="425" spans="1:17" s="36" customFormat="1" x14ac:dyDescent="0.25">
      <c r="A425" s="111">
        <f t="shared" si="155"/>
        <v>2900</v>
      </c>
      <c r="B425" s="111" t="str">
        <f t="shared" si="155"/>
        <v>After School Program Leader</v>
      </c>
      <c r="D425" s="115">
        <f t="shared" si="150"/>
        <v>8140</v>
      </c>
      <c r="F425" s="115">
        <f t="shared" si="156"/>
        <v>0</v>
      </c>
      <c r="G425" s="115">
        <f t="shared" si="156"/>
        <v>0</v>
      </c>
      <c r="H425" s="115">
        <f t="shared" si="156"/>
        <v>0</v>
      </c>
      <c r="I425" s="115">
        <f t="shared" si="156"/>
        <v>0</v>
      </c>
      <c r="J425" s="115">
        <f t="shared" si="156"/>
        <v>0</v>
      </c>
      <c r="K425" s="115">
        <f t="shared" si="156"/>
        <v>0</v>
      </c>
      <c r="L425" s="115">
        <f t="shared" si="156"/>
        <v>0</v>
      </c>
      <c r="M425" s="115">
        <f t="shared" si="156"/>
        <v>0</v>
      </c>
      <c r="N425" s="115">
        <f t="shared" si="156"/>
        <v>0</v>
      </c>
      <c r="O425" s="115">
        <f t="shared" si="156"/>
        <v>0</v>
      </c>
      <c r="P425" s="115">
        <f t="shared" si="156"/>
        <v>0</v>
      </c>
      <c r="Q425" s="115">
        <f t="shared" si="156"/>
        <v>0</v>
      </c>
    </row>
    <row r="426" spans="1:17" s="36" customFormat="1" x14ac:dyDescent="0.25">
      <c r="A426" s="111">
        <f t="shared" ref="A426:B431" si="157">A298</f>
        <v>2900</v>
      </c>
      <c r="B426" s="111" t="str">
        <f t="shared" si="157"/>
        <v>After School Program Leader</v>
      </c>
      <c r="D426" s="115">
        <f t="shared" si="150"/>
        <v>8140</v>
      </c>
      <c r="F426" s="115">
        <f t="shared" si="156"/>
        <v>0</v>
      </c>
      <c r="G426" s="115">
        <f t="shared" si="156"/>
        <v>0</v>
      </c>
      <c r="H426" s="115">
        <f t="shared" si="156"/>
        <v>0</v>
      </c>
      <c r="I426" s="115">
        <f t="shared" si="156"/>
        <v>0</v>
      </c>
      <c r="J426" s="115">
        <f t="shared" si="156"/>
        <v>0</v>
      </c>
      <c r="K426" s="115">
        <f t="shared" si="156"/>
        <v>0</v>
      </c>
      <c r="L426" s="115">
        <f t="shared" si="156"/>
        <v>0</v>
      </c>
      <c r="M426" s="115">
        <f t="shared" si="156"/>
        <v>0</v>
      </c>
      <c r="N426" s="115">
        <f t="shared" si="156"/>
        <v>0</v>
      </c>
      <c r="O426" s="115">
        <f t="shared" si="156"/>
        <v>0</v>
      </c>
      <c r="P426" s="115">
        <f t="shared" si="156"/>
        <v>0</v>
      </c>
      <c r="Q426" s="115">
        <f t="shared" si="156"/>
        <v>0</v>
      </c>
    </row>
    <row r="427" spans="1:17" s="36" customFormat="1" x14ac:dyDescent="0.25">
      <c r="A427" s="111">
        <f t="shared" si="157"/>
        <v>2900</v>
      </c>
      <c r="B427" s="111" t="str">
        <f t="shared" si="157"/>
        <v>After School Program Leader</v>
      </c>
      <c r="D427" s="115">
        <f t="shared" si="150"/>
        <v>8140</v>
      </c>
      <c r="F427" s="115">
        <f t="shared" si="156"/>
        <v>0</v>
      </c>
      <c r="G427" s="115">
        <f t="shared" si="156"/>
        <v>0</v>
      </c>
      <c r="H427" s="115">
        <f t="shared" si="156"/>
        <v>0</v>
      </c>
      <c r="I427" s="115">
        <f t="shared" si="156"/>
        <v>0</v>
      </c>
      <c r="J427" s="115">
        <f t="shared" si="156"/>
        <v>0</v>
      </c>
      <c r="K427" s="115">
        <f t="shared" si="156"/>
        <v>0</v>
      </c>
      <c r="L427" s="115">
        <f t="shared" si="156"/>
        <v>0</v>
      </c>
      <c r="M427" s="115">
        <f t="shared" si="156"/>
        <v>0</v>
      </c>
      <c r="N427" s="115">
        <f t="shared" si="156"/>
        <v>0</v>
      </c>
      <c r="O427" s="115">
        <f t="shared" si="156"/>
        <v>0</v>
      </c>
      <c r="P427" s="115">
        <f t="shared" si="156"/>
        <v>0</v>
      </c>
      <c r="Q427" s="115">
        <f t="shared" si="156"/>
        <v>0</v>
      </c>
    </row>
    <row r="428" spans="1:17" s="36" customFormat="1" x14ac:dyDescent="0.25">
      <c r="A428" s="111">
        <f t="shared" si="157"/>
        <v>2900</v>
      </c>
      <c r="B428" s="111" t="str">
        <f t="shared" si="157"/>
        <v>After School Program Leader</v>
      </c>
      <c r="D428" s="115">
        <f t="shared" si="150"/>
        <v>8140</v>
      </c>
      <c r="F428" s="115">
        <f t="shared" ref="F428:Q440" si="158">$D428*(1+E$5)*F300</f>
        <v>0</v>
      </c>
      <c r="G428" s="115">
        <f t="shared" si="158"/>
        <v>0</v>
      </c>
      <c r="H428" s="115">
        <f t="shared" si="158"/>
        <v>0</v>
      </c>
      <c r="I428" s="115">
        <f t="shared" si="158"/>
        <v>0</v>
      </c>
      <c r="J428" s="115">
        <f t="shared" si="158"/>
        <v>0</v>
      </c>
      <c r="K428" s="115">
        <f t="shared" si="158"/>
        <v>0</v>
      </c>
      <c r="L428" s="115">
        <f t="shared" si="158"/>
        <v>0</v>
      </c>
      <c r="M428" s="115">
        <f t="shared" si="158"/>
        <v>0</v>
      </c>
      <c r="N428" s="115">
        <f t="shared" si="158"/>
        <v>0</v>
      </c>
      <c r="O428" s="115">
        <f t="shared" si="158"/>
        <v>0</v>
      </c>
      <c r="P428" s="115">
        <f t="shared" si="158"/>
        <v>0</v>
      </c>
      <c r="Q428" s="115">
        <f t="shared" si="158"/>
        <v>0</v>
      </c>
    </row>
    <row r="429" spans="1:17" s="36" customFormat="1" x14ac:dyDescent="0.25">
      <c r="A429" s="111">
        <f t="shared" si="157"/>
        <v>2900</v>
      </c>
      <c r="B429" s="111" t="str">
        <f t="shared" si="157"/>
        <v>After School Program Leader</v>
      </c>
      <c r="D429" s="115">
        <f t="shared" si="150"/>
        <v>8140</v>
      </c>
      <c r="F429" s="115">
        <f t="shared" si="158"/>
        <v>0</v>
      </c>
      <c r="G429" s="115">
        <f t="shared" si="158"/>
        <v>0</v>
      </c>
      <c r="H429" s="115">
        <f t="shared" si="158"/>
        <v>0</v>
      </c>
      <c r="I429" s="115">
        <f t="shared" si="158"/>
        <v>0</v>
      </c>
      <c r="J429" s="115">
        <f t="shared" si="158"/>
        <v>0</v>
      </c>
      <c r="K429" s="115">
        <f t="shared" si="158"/>
        <v>0</v>
      </c>
      <c r="L429" s="115">
        <f t="shared" si="158"/>
        <v>0</v>
      </c>
      <c r="M429" s="115">
        <f t="shared" si="158"/>
        <v>0</v>
      </c>
      <c r="N429" s="115">
        <f t="shared" si="158"/>
        <v>0</v>
      </c>
      <c r="O429" s="115">
        <f t="shared" si="158"/>
        <v>0</v>
      </c>
      <c r="P429" s="115">
        <f t="shared" si="158"/>
        <v>0</v>
      </c>
      <c r="Q429" s="115">
        <f t="shared" si="158"/>
        <v>0</v>
      </c>
    </row>
    <row r="430" spans="1:17" s="36" customFormat="1" x14ac:dyDescent="0.25">
      <c r="A430" s="111">
        <f t="shared" si="157"/>
        <v>2900</v>
      </c>
      <c r="B430" s="111" t="str">
        <f t="shared" si="157"/>
        <v>After School Program Leader</v>
      </c>
      <c r="D430" s="115">
        <f t="shared" si="150"/>
        <v>8140</v>
      </c>
      <c r="F430" s="115">
        <f t="shared" si="158"/>
        <v>0</v>
      </c>
      <c r="G430" s="115">
        <f t="shared" si="158"/>
        <v>0</v>
      </c>
      <c r="H430" s="115">
        <f t="shared" si="158"/>
        <v>0</v>
      </c>
      <c r="I430" s="115">
        <f t="shared" si="158"/>
        <v>0</v>
      </c>
      <c r="J430" s="115">
        <f t="shared" si="158"/>
        <v>0</v>
      </c>
      <c r="K430" s="115">
        <f t="shared" si="158"/>
        <v>0</v>
      </c>
      <c r="L430" s="115">
        <f t="shared" si="158"/>
        <v>0</v>
      </c>
      <c r="M430" s="115">
        <f t="shared" si="158"/>
        <v>0</v>
      </c>
      <c r="N430" s="115">
        <f t="shared" si="158"/>
        <v>0</v>
      </c>
      <c r="O430" s="115">
        <f t="shared" si="158"/>
        <v>0</v>
      </c>
      <c r="P430" s="115">
        <f t="shared" si="158"/>
        <v>0</v>
      </c>
      <c r="Q430" s="115">
        <f t="shared" si="158"/>
        <v>0</v>
      </c>
    </row>
    <row r="431" spans="1:17" s="36" customFormat="1" x14ac:dyDescent="0.25">
      <c r="A431" s="111">
        <f>A303</f>
        <v>2900</v>
      </c>
      <c r="B431" s="111" t="str">
        <f t="shared" si="157"/>
        <v>After School Program Leader</v>
      </c>
      <c r="D431" s="115">
        <f t="shared" si="150"/>
        <v>8140</v>
      </c>
      <c r="F431" s="115">
        <f t="shared" si="158"/>
        <v>0</v>
      </c>
      <c r="G431" s="115">
        <f t="shared" si="158"/>
        <v>0</v>
      </c>
      <c r="H431" s="115">
        <f t="shared" si="158"/>
        <v>0</v>
      </c>
      <c r="I431" s="115">
        <f t="shared" si="158"/>
        <v>0</v>
      </c>
      <c r="J431" s="115">
        <f t="shared" si="158"/>
        <v>0</v>
      </c>
      <c r="K431" s="115">
        <f t="shared" si="158"/>
        <v>0</v>
      </c>
      <c r="L431" s="115">
        <f t="shared" si="158"/>
        <v>0</v>
      </c>
      <c r="M431" s="115">
        <f t="shared" si="158"/>
        <v>0</v>
      </c>
      <c r="N431" s="115">
        <f t="shared" si="158"/>
        <v>0</v>
      </c>
      <c r="O431" s="115">
        <f t="shared" si="158"/>
        <v>0</v>
      </c>
      <c r="P431" s="115">
        <f t="shared" si="158"/>
        <v>0</v>
      </c>
      <c r="Q431" s="115">
        <f t="shared" si="158"/>
        <v>0</v>
      </c>
    </row>
    <row r="432" spans="1:17" s="36" customFormat="1" x14ac:dyDescent="0.25">
      <c r="A432" s="111">
        <f t="shared" ref="A432:B440" si="159">A304</f>
        <v>2900</v>
      </c>
      <c r="B432" s="111" t="str">
        <f t="shared" si="159"/>
        <v>After School Program Leader</v>
      </c>
      <c r="D432" s="115">
        <f t="shared" si="150"/>
        <v>8140</v>
      </c>
      <c r="F432" s="115">
        <f t="shared" si="158"/>
        <v>0</v>
      </c>
      <c r="G432" s="115">
        <f t="shared" si="158"/>
        <v>0</v>
      </c>
      <c r="H432" s="115">
        <f t="shared" si="158"/>
        <v>0</v>
      </c>
      <c r="I432" s="115">
        <f t="shared" si="158"/>
        <v>0</v>
      </c>
      <c r="J432" s="115">
        <f t="shared" si="158"/>
        <v>0</v>
      </c>
      <c r="K432" s="115">
        <f t="shared" si="158"/>
        <v>0</v>
      </c>
      <c r="L432" s="115">
        <f t="shared" si="158"/>
        <v>0</v>
      </c>
      <c r="M432" s="115">
        <f t="shared" si="158"/>
        <v>0</v>
      </c>
      <c r="N432" s="115">
        <f t="shared" si="158"/>
        <v>0</v>
      </c>
      <c r="O432" s="115">
        <f t="shared" si="158"/>
        <v>0</v>
      </c>
      <c r="P432" s="115">
        <f t="shared" si="158"/>
        <v>0</v>
      </c>
      <c r="Q432" s="115">
        <f t="shared" si="158"/>
        <v>0</v>
      </c>
    </row>
    <row r="433" spans="1:17" s="36" customFormat="1" x14ac:dyDescent="0.25">
      <c r="A433" s="111">
        <f t="shared" si="159"/>
        <v>2900</v>
      </c>
      <c r="B433" s="111" t="str">
        <f t="shared" si="159"/>
        <v>After School Program Leader</v>
      </c>
      <c r="D433" s="115">
        <f t="shared" si="150"/>
        <v>8140</v>
      </c>
      <c r="F433" s="115">
        <f t="shared" si="158"/>
        <v>0</v>
      </c>
      <c r="G433" s="115">
        <f t="shared" si="158"/>
        <v>0</v>
      </c>
      <c r="H433" s="115">
        <f t="shared" si="158"/>
        <v>0</v>
      </c>
      <c r="I433" s="115">
        <f t="shared" si="158"/>
        <v>0</v>
      </c>
      <c r="J433" s="115">
        <f t="shared" si="158"/>
        <v>0</v>
      </c>
      <c r="K433" s="115">
        <f t="shared" si="158"/>
        <v>0</v>
      </c>
      <c r="L433" s="115">
        <f t="shared" si="158"/>
        <v>0</v>
      </c>
      <c r="M433" s="115">
        <f t="shared" si="158"/>
        <v>0</v>
      </c>
      <c r="N433" s="115">
        <f t="shared" si="158"/>
        <v>0</v>
      </c>
      <c r="O433" s="115">
        <f t="shared" si="158"/>
        <v>0</v>
      </c>
      <c r="P433" s="115">
        <f t="shared" si="158"/>
        <v>0</v>
      </c>
      <c r="Q433" s="115">
        <f t="shared" si="158"/>
        <v>0</v>
      </c>
    </row>
    <row r="434" spans="1:17" s="36" customFormat="1" x14ac:dyDescent="0.25">
      <c r="A434" s="111">
        <f t="shared" si="159"/>
        <v>2900</v>
      </c>
      <c r="B434" s="111" t="str">
        <f t="shared" si="159"/>
        <v>After School Program Leader</v>
      </c>
      <c r="D434" s="115">
        <f t="shared" si="150"/>
        <v>8140</v>
      </c>
      <c r="F434" s="115">
        <f t="shared" si="158"/>
        <v>0</v>
      </c>
      <c r="G434" s="115">
        <f t="shared" si="158"/>
        <v>0</v>
      </c>
      <c r="H434" s="115">
        <f t="shared" si="158"/>
        <v>0</v>
      </c>
      <c r="I434" s="115">
        <f t="shared" si="158"/>
        <v>0</v>
      </c>
      <c r="J434" s="115">
        <f t="shared" si="158"/>
        <v>0</v>
      </c>
      <c r="K434" s="115">
        <f t="shared" si="158"/>
        <v>0</v>
      </c>
      <c r="L434" s="115">
        <f t="shared" si="158"/>
        <v>0</v>
      </c>
      <c r="M434" s="115">
        <f t="shared" si="158"/>
        <v>0</v>
      </c>
      <c r="N434" s="115">
        <f t="shared" si="158"/>
        <v>0</v>
      </c>
      <c r="O434" s="115">
        <f t="shared" si="158"/>
        <v>0</v>
      </c>
      <c r="P434" s="115">
        <f t="shared" si="158"/>
        <v>0</v>
      </c>
      <c r="Q434" s="115">
        <f t="shared" si="158"/>
        <v>0</v>
      </c>
    </row>
    <row r="435" spans="1:17" s="36" customFormat="1" x14ac:dyDescent="0.25">
      <c r="A435" s="111">
        <f t="shared" si="159"/>
        <v>2900</v>
      </c>
      <c r="B435" s="111" t="str">
        <f t="shared" si="159"/>
        <v>After School Program Leader</v>
      </c>
      <c r="D435" s="115">
        <f t="shared" si="150"/>
        <v>8140</v>
      </c>
      <c r="F435" s="115">
        <f t="shared" si="158"/>
        <v>0</v>
      </c>
      <c r="G435" s="115">
        <f t="shared" si="158"/>
        <v>0</v>
      </c>
      <c r="H435" s="115">
        <f t="shared" si="158"/>
        <v>0</v>
      </c>
      <c r="I435" s="115">
        <f t="shared" si="158"/>
        <v>0</v>
      </c>
      <c r="J435" s="115">
        <f t="shared" si="158"/>
        <v>0</v>
      </c>
      <c r="K435" s="115">
        <f t="shared" si="158"/>
        <v>0</v>
      </c>
      <c r="L435" s="115">
        <f t="shared" si="158"/>
        <v>0</v>
      </c>
      <c r="M435" s="115">
        <f t="shared" si="158"/>
        <v>0</v>
      </c>
      <c r="N435" s="115">
        <f t="shared" si="158"/>
        <v>0</v>
      </c>
      <c r="O435" s="115">
        <f t="shared" si="158"/>
        <v>0</v>
      </c>
      <c r="P435" s="115">
        <f t="shared" si="158"/>
        <v>0</v>
      </c>
      <c r="Q435" s="115">
        <f t="shared" si="158"/>
        <v>0</v>
      </c>
    </row>
    <row r="436" spans="1:17" s="36" customFormat="1" x14ac:dyDescent="0.25">
      <c r="A436" s="111">
        <f t="shared" si="159"/>
        <v>2900</v>
      </c>
      <c r="B436" s="111" t="str">
        <f t="shared" si="159"/>
        <v>After School Program Leader</v>
      </c>
      <c r="D436" s="115">
        <f t="shared" si="150"/>
        <v>8140</v>
      </c>
      <c r="F436" s="115">
        <f t="shared" si="158"/>
        <v>0</v>
      </c>
      <c r="G436" s="115">
        <f t="shared" si="158"/>
        <v>0</v>
      </c>
      <c r="H436" s="115">
        <f t="shared" si="158"/>
        <v>0</v>
      </c>
      <c r="I436" s="115">
        <f t="shared" si="158"/>
        <v>0</v>
      </c>
      <c r="J436" s="115">
        <f t="shared" si="158"/>
        <v>0</v>
      </c>
      <c r="K436" s="115">
        <f t="shared" si="158"/>
        <v>0</v>
      </c>
      <c r="L436" s="115">
        <f t="shared" si="158"/>
        <v>0</v>
      </c>
      <c r="M436" s="115">
        <f t="shared" si="158"/>
        <v>0</v>
      </c>
      <c r="N436" s="115">
        <f t="shared" si="158"/>
        <v>0</v>
      </c>
      <c r="O436" s="115">
        <f t="shared" si="158"/>
        <v>0</v>
      </c>
      <c r="P436" s="115">
        <f t="shared" si="158"/>
        <v>0</v>
      </c>
      <c r="Q436" s="115">
        <f t="shared" si="158"/>
        <v>0</v>
      </c>
    </row>
    <row r="437" spans="1:17" s="36" customFormat="1" x14ac:dyDescent="0.25">
      <c r="A437" s="111">
        <f t="shared" si="159"/>
        <v>2900</v>
      </c>
      <c r="B437" s="111" t="str">
        <f t="shared" si="159"/>
        <v>After School Program Leader</v>
      </c>
      <c r="D437" s="115">
        <f t="shared" si="150"/>
        <v>8140</v>
      </c>
      <c r="F437" s="115">
        <f t="shared" si="158"/>
        <v>0</v>
      </c>
      <c r="G437" s="115">
        <f t="shared" si="158"/>
        <v>0</v>
      </c>
      <c r="H437" s="115">
        <f t="shared" si="158"/>
        <v>0</v>
      </c>
      <c r="I437" s="115">
        <f t="shared" si="158"/>
        <v>0</v>
      </c>
      <c r="J437" s="115">
        <f t="shared" si="158"/>
        <v>0</v>
      </c>
      <c r="K437" s="115">
        <f t="shared" si="158"/>
        <v>0</v>
      </c>
      <c r="L437" s="115">
        <f t="shared" si="158"/>
        <v>0</v>
      </c>
      <c r="M437" s="115">
        <f t="shared" si="158"/>
        <v>0</v>
      </c>
      <c r="N437" s="115">
        <f t="shared" si="158"/>
        <v>0</v>
      </c>
      <c r="O437" s="115">
        <f t="shared" si="158"/>
        <v>0</v>
      </c>
      <c r="P437" s="115">
        <f t="shared" si="158"/>
        <v>0</v>
      </c>
      <c r="Q437" s="115">
        <f t="shared" si="158"/>
        <v>0</v>
      </c>
    </row>
    <row r="438" spans="1:17" s="36" customFormat="1" x14ac:dyDescent="0.25">
      <c r="A438" s="111">
        <f t="shared" si="159"/>
        <v>2900</v>
      </c>
      <c r="B438" s="111" t="str">
        <f t="shared" si="159"/>
        <v>After School Program Leader</v>
      </c>
      <c r="D438" s="115">
        <f t="shared" si="150"/>
        <v>8140</v>
      </c>
      <c r="F438" s="115">
        <f t="shared" si="158"/>
        <v>0</v>
      </c>
      <c r="G438" s="115">
        <f t="shared" si="158"/>
        <v>0</v>
      </c>
      <c r="H438" s="115">
        <f t="shared" si="158"/>
        <v>0</v>
      </c>
      <c r="I438" s="115">
        <f t="shared" si="158"/>
        <v>0</v>
      </c>
      <c r="J438" s="115">
        <f t="shared" si="158"/>
        <v>0</v>
      </c>
      <c r="K438" s="115">
        <f t="shared" si="158"/>
        <v>0</v>
      </c>
      <c r="L438" s="115">
        <f t="shared" si="158"/>
        <v>0</v>
      </c>
      <c r="M438" s="115">
        <f t="shared" si="158"/>
        <v>0</v>
      </c>
      <c r="N438" s="115">
        <f t="shared" si="158"/>
        <v>0</v>
      </c>
      <c r="O438" s="115">
        <f t="shared" si="158"/>
        <v>0</v>
      </c>
      <c r="P438" s="115">
        <f t="shared" si="158"/>
        <v>0</v>
      </c>
      <c r="Q438" s="115">
        <f t="shared" si="158"/>
        <v>0</v>
      </c>
    </row>
    <row r="439" spans="1:17" s="36" customFormat="1" x14ac:dyDescent="0.25">
      <c r="A439" s="111">
        <f t="shared" si="159"/>
        <v>2900</v>
      </c>
      <c r="B439" s="111" t="str">
        <f t="shared" si="159"/>
        <v>After School Program Leader</v>
      </c>
      <c r="D439" s="115">
        <f t="shared" si="150"/>
        <v>8140</v>
      </c>
      <c r="F439" s="115">
        <f t="shared" si="158"/>
        <v>0</v>
      </c>
      <c r="G439" s="115">
        <f t="shared" si="158"/>
        <v>0</v>
      </c>
      <c r="H439" s="115">
        <f t="shared" si="158"/>
        <v>0</v>
      </c>
      <c r="I439" s="115">
        <f t="shared" si="158"/>
        <v>0</v>
      </c>
      <c r="J439" s="115">
        <f t="shared" si="158"/>
        <v>0</v>
      </c>
      <c r="K439" s="115">
        <f t="shared" si="158"/>
        <v>0</v>
      </c>
      <c r="L439" s="115">
        <f t="shared" si="158"/>
        <v>0</v>
      </c>
      <c r="M439" s="115">
        <f t="shared" si="158"/>
        <v>0</v>
      </c>
      <c r="N439" s="115">
        <f t="shared" si="158"/>
        <v>0</v>
      </c>
      <c r="O439" s="115">
        <f t="shared" si="158"/>
        <v>0</v>
      </c>
      <c r="P439" s="115">
        <f t="shared" si="158"/>
        <v>0</v>
      </c>
      <c r="Q439" s="115">
        <f t="shared" si="158"/>
        <v>0</v>
      </c>
    </row>
    <row r="440" spans="1:17" s="36" customFormat="1" x14ac:dyDescent="0.25">
      <c r="A440" s="111">
        <f t="shared" si="159"/>
        <v>2900</v>
      </c>
      <c r="B440" s="111" t="str">
        <f t="shared" si="159"/>
        <v>After School Program Leader</v>
      </c>
      <c r="D440" s="115">
        <f t="shared" si="150"/>
        <v>8140</v>
      </c>
      <c r="F440" s="116">
        <f t="shared" si="158"/>
        <v>0</v>
      </c>
      <c r="G440" s="116">
        <f t="shared" si="158"/>
        <v>0</v>
      </c>
      <c r="H440" s="116">
        <f t="shared" si="158"/>
        <v>0</v>
      </c>
      <c r="I440" s="116">
        <f t="shared" si="158"/>
        <v>0</v>
      </c>
      <c r="J440" s="116">
        <f t="shared" si="158"/>
        <v>0</v>
      </c>
      <c r="K440" s="116">
        <f t="shared" si="158"/>
        <v>0</v>
      </c>
      <c r="L440" s="116">
        <f t="shared" si="158"/>
        <v>0</v>
      </c>
      <c r="M440" s="116">
        <f t="shared" si="158"/>
        <v>0</v>
      </c>
      <c r="N440" s="116">
        <f t="shared" si="158"/>
        <v>0</v>
      </c>
      <c r="O440" s="116">
        <f t="shared" si="158"/>
        <v>0</v>
      </c>
      <c r="P440" s="116">
        <f t="shared" si="158"/>
        <v>0</v>
      </c>
      <c r="Q440" s="115">
        <f t="shared" si="158"/>
        <v>0</v>
      </c>
    </row>
    <row r="441" spans="1:17" x14ac:dyDescent="0.25">
      <c r="A441"/>
      <c r="E441"/>
      <c r="F441" s="48" t="e">
        <f>SUM(F316:F440)</f>
        <v>#REF!</v>
      </c>
      <c r="G441" s="48" t="e">
        <f t="shared" ref="G441:Q441" si="160">SUM(G316:G440)</f>
        <v>#REF!</v>
      </c>
      <c r="H441" s="48" t="e">
        <f t="shared" si="160"/>
        <v>#REF!</v>
      </c>
      <c r="I441" s="48" t="e">
        <f t="shared" si="160"/>
        <v>#REF!</v>
      </c>
      <c r="J441" s="48" t="e">
        <f t="shared" si="160"/>
        <v>#REF!</v>
      </c>
      <c r="K441" s="48" t="e">
        <f t="shared" si="160"/>
        <v>#REF!</v>
      </c>
      <c r="L441" s="48" t="e">
        <f t="shared" si="160"/>
        <v>#REF!</v>
      </c>
      <c r="M441" s="48" t="e">
        <f t="shared" si="160"/>
        <v>#REF!</v>
      </c>
      <c r="N441" s="48" t="e">
        <f t="shared" si="160"/>
        <v>#REF!</v>
      </c>
      <c r="O441" s="48" t="e">
        <f t="shared" si="160"/>
        <v>#REF!</v>
      </c>
      <c r="P441" s="48" t="e">
        <f t="shared" si="160"/>
        <v>#REF!</v>
      </c>
      <c r="Q441" s="48" t="e">
        <f t="shared" si="160"/>
        <v>#REF!</v>
      </c>
    </row>
    <row r="442" spans="1:17" x14ac:dyDescent="0.25">
      <c r="A442"/>
      <c r="E442"/>
      <c r="J442" s="48" t="e">
        <f>J441-J60-J66</f>
        <v>#REF!</v>
      </c>
      <c r="K442" s="48" t="e">
        <f>K441-K60-K66</f>
        <v>#REF!</v>
      </c>
    </row>
    <row r="443" spans="1:17" x14ac:dyDescent="0.25">
      <c r="A443"/>
      <c r="E443"/>
    </row>
    <row r="444" spans="1:17" x14ac:dyDescent="0.25">
      <c r="A444"/>
      <c r="E444"/>
    </row>
    <row r="445" spans="1:17" x14ac:dyDescent="0.25">
      <c r="A445"/>
      <c r="E445"/>
    </row>
    <row r="446" spans="1:17" x14ac:dyDescent="0.25">
      <c r="A446"/>
      <c r="E446"/>
    </row>
    <row r="447" spans="1:17" x14ac:dyDescent="0.25">
      <c r="A447"/>
      <c r="E447"/>
    </row>
    <row r="448" spans="1:17" x14ac:dyDescent="0.25">
      <c r="A448"/>
      <c r="E448"/>
    </row>
    <row r="449" spans="1:5" x14ac:dyDescent="0.25">
      <c r="A449"/>
      <c r="E449"/>
    </row>
    <row r="450" spans="1:5" x14ac:dyDescent="0.25">
      <c r="A450"/>
      <c r="E450"/>
    </row>
    <row r="451" spans="1:5" x14ac:dyDescent="0.25">
      <c r="A451"/>
      <c r="E451"/>
    </row>
    <row r="452" spans="1:5" x14ac:dyDescent="0.25">
      <c r="A452"/>
      <c r="E452"/>
    </row>
    <row r="453" spans="1:5" x14ac:dyDescent="0.25">
      <c r="A453"/>
      <c r="E453"/>
    </row>
    <row r="454" spans="1:5" x14ac:dyDescent="0.25">
      <c r="A454"/>
      <c r="E454"/>
    </row>
    <row r="455" spans="1:5" x14ac:dyDescent="0.25">
      <c r="A455"/>
      <c r="E455"/>
    </row>
    <row r="456" spans="1:5" x14ac:dyDescent="0.25">
      <c r="A456"/>
      <c r="E456"/>
    </row>
    <row r="457" spans="1:5" x14ac:dyDescent="0.25">
      <c r="A457"/>
      <c r="E457"/>
    </row>
    <row r="458" spans="1:5" x14ac:dyDescent="0.25">
      <c r="A458"/>
      <c r="E458"/>
    </row>
    <row r="459" spans="1:5" x14ac:dyDescent="0.25">
      <c r="A459"/>
      <c r="E459"/>
    </row>
    <row r="460" spans="1:5" x14ac:dyDescent="0.25">
      <c r="A460"/>
      <c r="E460"/>
    </row>
    <row r="461" spans="1:5" x14ac:dyDescent="0.25">
      <c r="A461"/>
      <c r="E461"/>
    </row>
    <row r="462" spans="1:5" s="36" customFormat="1" x14ac:dyDescent="0.25">
      <c r="A462" s="111"/>
    </row>
    <row r="463" spans="1:5" s="36" customFormat="1" x14ac:dyDescent="0.25">
      <c r="A463" s="111"/>
    </row>
    <row r="464" spans="1:5" s="36" customFormat="1" x14ac:dyDescent="0.25">
      <c r="A464" s="111"/>
    </row>
    <row r="465" spans="1:1" s="36" customFormat="1" x14ac:dyDescent="0.25">
      <c r="A465" s="111"/>
    </row>
    <row r="466" spans="1:1" s="36" customFormat="1" x14ac:dyDescent="0.25">
      <c r="A466" s="111"/>
    </row>
    <row r="467" spans="1:1" s="36" customFormat="1" x14ac:dyDescent="0.25">
      <c r="A467" s="111"/>
    </row>
    <row r="468" spans="1:1" s="36" customFormat="1" x14ac:dyDescent="0.25">
      <c r="A468" s="111"/>
    </row>
    <row r="469" spans="1:1" s="36" customFormat="1" x14ac:dyDescent="0.25">
      <c r="A469" s="111"/>
    </row>
    <row r="470" spans="1:1" s="36" customFormat="1" x14ac:dyDescent="0.25">
      <c r="A470" s="111"/>
    </row>
    <row r="471" spans="1:1" s="36" customFormat="1" x14ac:dyDescent="0.25">
      <c r="A471" s="111"/>
    </row>
    <row r="472" spans="1:1" s="36" customFormat="1" x14ac:dyDescent="0.25">
      <c r="A472" s="111"/>
    </row>
    <row r="473" spans="1:1" s="36" customFormat="1" x14ac:dyDescent="0.25">
      <c r="A473" s="111"/>
    </row>
    <row r="474" spans="1:1" s="36" customFormat="1" x14ac:dyDescent="0.25">
      <c r="A474" s="111"/>
    </row>
    <row r="475" spans="1:1" s="36" customFormat="1" x14ac:dyDescent="0.25">
      <c r="A475" s="111"/>
    </row>
    <row r="476" spans="1:1" s="36" customFormat="1" x14ac:dyDescent="0.25">
      <c r="A476" s="111"/>
    </row>
    <row r="477" spans="1:1" s="36" customFormat="1" x14ac:dyDescent="0.25">
      <c r="A477" s="111"/>
    </row>
    <row r="478" spans="1:1" s="36" customFormat="1" x14ac:dyDescent="0.25">
      <c r="A478" s="111"/>
    </row>
    <row r="479" spans="1:1" s="36" customFormat="1" x14ac:dyDescent="0.25">
      <c r="A479" s="111"/>
    </row>
    <row r="480" spans="1:1" s="36" customFormat="1" x14ac:dyDescent="0.25">
      <c r="A480" s="111"/>
    </row>
    <row r="481" spans="1:1" s="36" customFormat="1" x14ac:dyDescent="0.25">
      <c r="A481" s="111"/>
    </row>
    <row r="482" spans="1:1" s="36" customFormat="1" x14ac:dyDescent="0.25">
      <c r="A482" s="111"/>
    </row>
    <row r="483" spans="1:1" s="36" customFormat="1" x14ac:dyDescent="0.25">
      <c r="A483" s="111"/>
    </row>
    <row r="484" spans="1:1" s="36" customFormat="1" x14ac:dyDescent="0.25">
      <c r="A484" s="111"/>
    </row>
    <row r="485" spans="1:1" s="36" customFormat="1" x14ac:dyDescent="0.25">
      <c r="A485" s="111"/>
    </row>
    <row r="486" spans="1:1" s="36" customFormat="1" x14ac:dyDescent="0.25">
      <c r="A486" s="111"/>
    </row>
    <row r="487" spans="1:1" s="36" customFormat="1" x14ac:dyDescent="0.25">
      <c r="A487" s="111"/>
    </row>
    <row r="488" spans="1:1" s="36" customFormat="1" x14ac:dyDescent="0.25">
      <c r="A488" s="111"/>
    </row>
    <row r="489" spans="1:1" s="36" customFormat="1" x14ac:dyDescent="0.25">
      <c r="A489" s="111"/>
    </row>
    <row r="490" spans="1:1" s="36" customFormat="1" x14ac:dyDescent="0.25">
      <c r="A490" s="111"/>
    </row>
    <row r="491" spans="1:1" s="36" customFormat="1" x14ac:dyDescent="0.25">
      <c r="A491" s="111"/>
    </row>
    <row r="492" spans="1:1" s="36" customFormat="1" x14ac:dyDescent="0.25">
      <c r="A492" s="111"/>
    </row>
    <row r="493" spans="1:1" s="36" customFormat="1" x14ac:dyDescent="0.25">
      <c r="A493" s="111"/>
    </row>
    <row r="494" spans="1:1" s="36" customFormat="1" x14ac:dyDescent="0.25">
      <c r="A494" s="111"/>
    </row>
    <row r="495" spans="1:1" s="36" customFormat="1" x14ac:dyDescent="0.25">
      <c r="A495" s="111"/>
    </row>
    <row r="496" spans="1:1" s="36" customFormat="1" x14ac:dyDescent="0.25">
      <c r="A496" s="111"/>
    </row>
    <row r="497" spans="1:1" s="36" customFormat="1" x14ac:dyDescent="0.25">
      <c r="A497" s="111"/>
    </row>
    <row r="498" spans="1:1" s="36" customFormat="1" x14ac:dyDescent="0.25">
      <c r="A498" s="111"/>
    </row>
    <row r="499" spans="1:1" s="36" customFormat="1" x14ac:dyDescent="0.25">
      <c r="A499" s="111"/>
    </row>
    <row r="500" spans="1:1" s="36" customFormat="1" x14ac:dyDescent="0.25">
      <c r="A500" s="111"/>
    </row>
    <row r="501" spans="1:1" s="36" customFormat="1" x14ac:dyDescent="0.25">
      <c r="A501" s="111"/>
    </row>
    <row r="502" spans="1:1" s="36" customFormat="1" x14ac:dyDescent="0.25">
      <c r="A502" s="111"/>
    </row>
    <row r="503" spans="1:1" s="36" customFormat="1" x14ac:dyDescent="0.25">
      <c r="A503" s="111"/>
    </row>
    <row r="504" spans="1:1" s="36" customFormat="1" x14ac:dyDescent="0.25">
      <c r="A504" s="111"/>
    </row>
    <row r="505" spans="1:1" s="36" customFormat="1" x14ac:dyDescent="0.25">
      <c r="A505" s="111"/>
    </row>
    <row r="506" spans="1:1" s="36" customFormat="1" x14ac:dyDescent="0.25">
      <c r="A506" s="111"/>
    </row>
    <row r="507" spans="1:1" s="36" customFormat="1" x14ac:dyDescent="0.25">
      <c r="A507" s="111"/>
    </row>
    <row r="508" spans="1:1" s="36" customFormat="1" x14ac:dyDescent="0.25">
      <c r="A508" s="111"/>
    </row>
    <row r="509" spans="1:1" s="36" customFormat="1" x14ac:dyDescent="0.25">
      <c r="A509" s="111"/>
    </row>
    <row r="510" spans="1:1" s="36" customFormat="1" x14ac:dyDescent="0.25">
      <c r="A510" s="111"/>
    </row>
    <row r="511" spans="1:1" s="36" customFormat="1" x14ac:dyDescent="0.25">
      <c r="A511" s="111"/>
    </row>
    <row r="512" spans="1:1" s="36" customFormat="1" x14ac:dyDescent="0.25">
      <c r="A512" s="111"/>
    </row>
    <row r="513" spans="1:1" s="36" customFormat="1" x14ac:dyDescent="0.25">
      <c r="A513" s="111"/>
    </row>
    <row r="514" spans="1:1" s="36" customFormat="1" x14ac:dyDescent="0.25">
      <c r="A514" s="111"/>
    </row>
    <row r="515" spans="1:1" s="36" customFormat="1" x14ac:dyDescent="0.25">
      <c r="A515" s="111"/>
    </row>
    <row r="516" spans="1:1" s="36" customFormat="1" x14ac:dyDescent="0.25">
      <c r="A516" s="111"/>
    </row>
    <row r="517" spans="1:1" s="36" customFormat="1" x14ac:dyDescent="0.25">
      <c r="A517" s="111"/>
    </row>
    <row r="518" spans="1:1" s="36" customFormat="1" x14ac:dyDescent="0.25">
      <c r="A518" s="111"/>
    </row>
    <row r="519" spans="1:1" s="36" customFormat="1" x14ac:dyDescent="0.25">
      <c r="A519" s="111"/>
    </row>
    <row r="520" spans="1:1" s="36" customFormat="1" x14ac:dyDescent="0.25">
      <c r="A520" s="111"/>
    </row>
    <row r="521" spans="1:1" s="36" customFormat="1" x14ac:dyDescent="0.25">
      <c r="A521" s="111"/>
    </row>
    <row r="522" spans="1:1" s="36" customFormat="1" x14ac:dyDescent="0.25">
      <c r="A522" s="111"/>
    </row>
    <row r="523" spans="1:1" s="36" customFormat="1" x14ac:dyDescent="0.25">
      <c r="A523" s="111"/>
    </row>
    <row r="524" spans="1:1" s="36" customFormat="1" x14ac:dyDescent="0.25">
      <c r="A524" s="111"/>
    </row>
    <row r="525" spans="1:1" s="36" customFormat="1" x14ac:dyDescent="0.25">
      <c r="A525" s="111"/>
    </row>
    <row r="526" spans="1:1" s="36" customFormat="1" x14ac:dyDescent="0.25">
      <c r="A526" s="111"/>
    </row>
    <row r="527" spans="1:1" s="36" customFormat="1" x14ac:dyDescent="0.25">
      <c r="A527" s="111"/>
    </row>
    <row r="528" spans="1:1" s="36" customFormat="1" x14ac:dyDescent="0.25">
      <c r="A528" s="111"/>
    </row>
    <row r="529" spans="1:1" s="36" customFormat="1" x14ac:dyDescent="0.25">
      <c r="A529" s="111"/>
    </row>
    <row r="530" spans="1:1" s="36" customFormat="1" x14ac:dyDescent="0.25">
      <c r="A530" s="111"/>
    </row>
    <row r="531" spans="1:1" s="36" customFormat="1" x14ac:dyDescent="0.25">
      <c r="A531" s="111"/>
    </row>
    <row r="532" spans="1:1" s="36" customFormat="1" x14ac:dyDescent="0.25">
      <c r="A532" s="111"/>
    </row>
    <row r="533" spans="1:1" s="36" customFormat="1" x14ac:dyDescent="0.25">
      <c r="A533" s="111"/>
    </row>
    <row r="534" spans="1:1" s="36" customFormat="1" x14ac:dyDescent="0.25">
      <c r="A534" s="111"/>
    </row>
    <row r="535" spans="1:1" s="36" customFormat="1" x14ac:dyDescent="0.25">
      <c r="A535" s="111"/>
    </row>
    <row r="536" spans="1:1" s="36" customFormat="1" x14ac:dyDescent="0.25">
      <c r="A536" s="111"/>
    </row>
    <row r="537" spans="1:1" s="36" customFormat="1" x14ac:dyDescent="0.25">
      <c r="A537" s="111"/>
    </row>
    <row r="538" spans="1:1" s="36" customFormat="1" x14ac:dyDescent="0.25">
      <c r="A538" s="111"/>
    </row>
    <row r="539" spans="1:1" s="36" customFormat="1" x14ac:dyDescent="0.25">
      <c r="A539" s="111"/>
    </row>
    <row r="540" spans="1:1" s="36" customFormat="1" x14ac:dyDescent="0.25">
      <c r="A540" s="111"/>
    </row>
    <row r="541" spans="1:1" s="36" customFormat="1" x14ac:dyDescent="0.25">
      <c r="A541" s="111"/>
    </row>
    <row r="542" spans="1:1" s="36" customFormat="1" x14ac:dyDescent="0.25">
      <c r="A542" s="111"/>
    </row>
    <row r="543" spans="1:1" s="36" customFormat="1" x14ac:dyDescent="0.25">
      <c r="A543" s="111"/>
    </row>
    <row r="544" spans="1:1" s="36" customFormat="1" x14ac:dyDescent="0.25">
      <c r="A544" s="111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</sheetData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ColWidth="20.7109375" defaultRowHeight="15" x14ac:dyDescent="0.25"/>
  <sheetData>
    <row r="1" spans="1:13" s="53" customFormat="1" x14ac:dyDescent="0.25">
      <c r="A1" s="57" t="str">
        <f>Assumptions!A1</f>
        <v>Nevada State High School's</v>
      </c>
    </row>
    <row r="2" spans="1:13" s="53" customFormat="1" x14ac:dyDescent="0.25">
      <c r="A2" s="57" t="str">
        <f ca="1">RIGHT(CELL("filename",A1),LEN(CELL("filename",A1))-FIND("]",CELL("filename",A1)))</f>
        <v>Rate Sheet</v>
      </c>
    </row>
    <row r="3" spans="1:13" s="53" customFormat="1" ht="30" x14ac:dyDescent="0.25">
      <c r="A3" s="58" t="s">
        <v>92</v>
      </c>
      <c r="D3" s="54" t="s">
        <v>37</v>
      </c>
      <c r="F3" s="54" t="s">
        <v>38</v>
      </c>
      <c r="H3" s="54" t="s">
        <v>38</v>
      </c>
      <c r="J3" s="54" t="s">
        <v>39</v>
      </c>
      <c r="L3" s="54" t="s">
        <v>39</v>
      </c>
    </row>
    <row r="4" spans="1:13" s="55" customFormat="1" x14ac:dyDescent="0.25">
      <c r="D4" s="55" t="s">
        <v>52</v>
      </c>
      <c r="F4" s="55" t="s">
        <v>52</v>
      </c>
      <c r="H4" s="55" t="s">
        <v>52</v>
      </c>
      <c r="J4" s="55" t="s">
        <v>52</v>
      </c>
      <c r="L4" s="55" t="s">
        <v>52</v>
      </c>
    </row>
    <row r="5" spans="1:13" s="55" customFormat="1" x14ac:dyDescent="0.25">
      <c r="D5" s="55" t="s">
        <v>53</v>
      </c>
      <c r="F5" s="55" t="s">
        <v>55</v>
      </c>
      <c r="G5" s="55" t="s">
        <v>54</v>
      </c>
      <c r="H5" s="55" t="s">
        <v>89</v>
      </c>
      <c r="J5" s="55" t="s">
        <v>178</v>
      </c>
      <c r="L5" s="55" t="s">
        <v>179</v>
      </c>
    </row>
    <row r="6" spans="1:13" s="55" customFormat="1" x14ac:dyDescent="0.25">
      <c r="B6" s="56" t="s">
        <v>56</v>
      </c>
      <c r="C6" s="56" t="s">
        <v>57</v>
      </c>
      <c r="D6" s="56" t="s">
        <v>90</v>
      </c>
      <c r="E6" s="56" t="s">
        <v>58</v>
      </c>
      <c r="F6" s="56" t="s">
        <v>91</v>
      </c>
      <c r="G6" s="56" t="s">
        <v>59</v>
      </c>
      <c r="H6" s="56" t="s">
        <v>90</v>
      </c>
      <c r="I6" s="56" t="s">
        <v>58</v>
      </c>
      <c r="J6" s="56" t="s">
        <v>90</v>
      </c>
      <c r="K6" s="56" t="s">
        <v>58</v>
      </c>
      <c r="L6" s="56" t="s">
        <v>90</v>
      </c>
      <c r="M6" s="56" t="s">
        <v>58</v>
      </c>
    </row>
    <row r="7" spans="1:13" x14ac:dyDescent="0.25">
      <c r="A7" s="43" t="s">
        <v>60</v>
      </c>
      <c r="B7">
        <v>75</v>
      </c>
      <c r="C7">
        <f>ROUNDUP(B7/30,0)</f>
        <v>3</v>
      </c>
      <c r="D7" s="50">
        <v>175</v>
      </c>
      <c r="E7" s="45">
        <f>$B7*D7</f>
        <v>13125</v>
      </c>
      <c r="F7" s="73">
        <v>100</v>
      </c>
      <c r="G7" s="45">
        <f>$C7*F7</f>
        <v>300</v>
      </c>
      <c r="H7" s="50">
        <v>100</v>
      </c>
      <c r="I7" s="45">
        <f t="shared" ref="I7:I19" si="0">$B7*H7</f>
        <v>7500</v>
      </c>
      <c r="J7" s="50">
        <f>(75+100)/2</f>
        <v>87.5</v>
      </c>
      <c r="K7" s="45">
        <f t="shared" ref="K7:K19" si="1">$B7*J7</f>
        <v>6562.5</v>
      </c>
      <c r="L7" s="50">
        <v>100</v>
      </c>
      <c r="M7" s="45">
        <f t="shared" ref="M7:M19" si="2">$B7*L7</f>
        <v>7500</v>
      </c>
    </row>
    <row r="8" spans="1:13" x14ac:dyDescent="0.25">
      <c r="A8">
        <v>1</v>
      </c>
      <c r="B8">
        <v>75</v>
      </c>
      <c r="C8">
        <f t="shared" ref="C8:C19" si="3">ROUNDUP(B8/30,0)</f>
        <v>3</v>
      </c>
      <c r="D8" s="51">
        <v>175</v>
      </c>
      <c r="E8" s="45">
        <f t="shared" ref="E8:E19" si="4">$B8*D8</f>
        <v>13125</v>
      </c>
      <c r="F8" s="73">
        <v>100</v>
      </c>
      <c r="G8" s="45">
        <f t="shared" ref="G8:G19" si="5">$C8*F8</f>
        <v>300</v>
      </c>
      <c r="H8" s="51">
        <v>100</v>
      </c>
      <c r="I8" s="45">
        <f t="shared" si="0"/>
        <v>7500</v>
      </c>
      <c r="J8" s="50">
        <f t="shared" ref="J8:J19" si="6">(75+100)/2</f>
        <v>87.5</v>
      </c>
      <c r="K8" s="45">
        <f t="shared" si="1"/>
        <v>6562.5</v>
      </c>
      <c r="L8" s="51">
        <v>100</v>
      </c>
      <c r="M8" s="45">
        <f t="shared" si="2"/>
        <v>7500</v>
      </c>
    </row>
    <row r="9" spans="1:13" x14ac:dyDescent="0.25">
      <c r="A9">
        <v>2</v>
      </c>
      <c r="B9">
        <v>75</v>
      </c>
      <c r="C9">
        <f t="shared" si="3"/>
        <v>3</v>
      </c>
      <c r="D9" s="51">
        <v>175</v>
      </c>
      <c r="E9" s="45">
        <f t="shared" si="4"/>
        <v>13125</v>
      </c>
      <c r="F9" s="73">
        <v>100</v>
      </c>
      <c r="G9" s="45">
        <f t="shared" si="5"/>
        <v>300</v>
      </c>
      <c r="H9" s="51">
        <v>100</v>
      </c>
      <c r="I9" s="45">
        <f t="shared" si="0"/>
        <v>7500</v>
      </c>
      <c r="J9" s="50">
        <f t="shared" si="6"/>
        <v>87.5</v>
      </c>
      <c r="K9" s="45">
        <f t="shared" si="1"/>
        <v>6562.5</v>
      </c>
      <c r="L9" s="51">
        <v>100</v>
      </c>
      <c r="M9" s="45">
        <f t="shared" si="2"/>
        <v>7500</v>
      </c>
    </row>
    <row r="10" spans="1:13" x14ac:dyDescent="0.25">
      <c r="A10">
        <v>3</v>
      </c>
      <c r="B10">
        <v>75</v>
      </c>
      <c r="C10">
        <f t="shared" si="3"/>
        <v>3</v>
      </c>
      <c r="D10" s="51">
        <v>175</v>
      </c>
      <c r="E10" s="45">
        <f t="shared" si="4"/>
        <v>13125</v>
      </c>
      <c r="F10" s="73">
        <v>100</v>
      </c>
      <c r="G10" s="45">
        <f t="shared" si="5"/>
        <v>300</v>
      </c>
      <c r="H10" s="51">
        <v>100</v>
      </c>
      <c r="I10" s="45">
        <f t="shared" si="0"/>
        <v>7500</v>
      </c>
      <c r="J10" s="50">
        <f t="shared" si="6"/>
        <v>87.5</v>
      </c>
      <c r="K10" s="45">
        <f t="shared" si="1"/>
        <v>6562.5</v>
      </c>
      <c r="L10" s="51">
        <v>100</v>
      </c>
      <c r="M10" s="45">
        <f t="shared" si="2"/>
        <v>7500</v>
      </c>
    </row>
    <row r="11" spans="1:13" x14ac:dyDescent="0.25">
      <c r="A11">
        <v>4</v>
      </c>
      <c r="B11">
        <v>75</v>
      </c>
      <c r="C11">
        <f t="shared" si="3"/>
        <v>3</v>
      </c>
      <c r="D11" s="51">
        <v>175</v>
      </c>
      <c r="E11" s="45">
        <f t="shared" si="4"/>
        <v>13125</v>
      </c>
      <c r="F11" s="73">
        <v>100</v>
      </c>
      <c r="G11" s="45">
        <f t="shared" si="5"/>
        <v>300</v>
      </c>
      <c r="H11" s="51">
        <v>100</v>
      </c>
      <c r="I11" s="45">
        <f t="shared" si="0"/>
        <v>7500</v>
      </c>
      <c r="J11" s="50">
        <f t="shared" si="6"/>
        <v>87.5</v>
      </c>
      <c r="K11" s="45">
        <f t="shared" si="1"/>
        <v>6562.5</v>
      </c>
      <c r="L11" s="51">
        <v>100</v>
      </c>
      <c r="M11" s="45">
        <f t="shared" si="2"/>
        <v>7500</v>
      </c>
    </row>
    <row r="12" spans="1:13" x14ac:dyDescent="0.25">
      <c r="A12">
        <v>5</v>
      </c>
      <c r="B12">
        <v>75</v>
      </c>
      <c r="C12">
        <f t="shared" si="3"/>
        <v>3</v>
      </c>
      <c r="D12" s="51">
        <v>300</v>
      </c>
      <c r="E12" s="45">
        <f t="shared" si="4"/>
        <v>22500</v>
      </c>
      <c r="F12" s="73">
        <v>100</v>
      </c>
      <c r="G12" s="45">
        <f t="shared" si="5"/>
        <v>300</v>
      </c>
      <c r="H12" s="51">
        <v>100</v>
      </c>
      <c r="I12" s="45">
        <f t="shared" si="0"/>
        <v>7500</v>
      </c>
      <c r="J12" s="50">
        <f t="shared" si="6"/>
        <v>87.5</v>
      </c>
      <c r="K12" s="45">
        <f t="shared" si="1"/>
        <v>6562.5</v>
      </c>
      <c r="L12" s="51">
        <v>100</v>
      </c>
      <c r="M12" s="45">
        <f t="shared" si="2"/>
        <v>7500</v>
      </c>
    </row>
    <row r="13" spans="1:13" x14ac:dyDescent="0.25">
      <c r="A13">
        <v>6</v>
      </c>
      <c r="B13">
        <v>75</v>
      </c>
      <c r="C13">
        <f t="shared" si="3"/>
        <v>3</v>
      </c>
      <c r="D13" s="51">
        <v>175</v>
      </c>
      <c r="E13" s="45">
        <f t="shared" si="4"/>
        <v>13125</v>
      </c>
      <c r="F13" s="73">
        <v>100</v>
      </c>
      <c r="G13" s="45">
        <f t="shared" si="5"/>
        <v>300</v>
      </c>
      <c r="H13" s="51">
        <v>100</v>
      </c>
      <c r="I13" s="45">
        <f t="shared" si="0"/>
        <v>7500</v>
      </c>
      <c r="J13" s="50">
        <f t="shared" si="6"/>
        <v>87.5</v>
      </c>
      <c r="K13" s="45">
        <f t="shared" si="1"/>
        <v>6562.5</v>
      </c>
      <c r="L13" s="51">
        <v>100</v>
      </c>
      <c r="M13" s="45">
        <f t="shared" si="2"/>
        <v>7500</v>
      </c>
    </row>
    <row r="14" spans="1:13" x14ac:dyDescent="0.25">
      <c r="A14">
        <v>7</v>
      </c>
      <c r="B14">
        <v>75</v>
      </c>
      <c r="C14">
        <f t="shared" si="3"/>
        <v>3</v>
      </c>
      <c r="D14" s="51">
        <v>175</v>
      </c>
      <c r="E14" s="45">
        <f t="shared" si="4"/>
        <v>13125</v>
      </c>
      <c r="F14" s="73">
        <v>100</v>
      </c>
      <c r="G14" s="45">
        <f t="shared" si="5"/>
        <v>300</v>
      </c>
      <c r="H14" s="51">
        <v>100</v>
      </c>
      <c r="I14" s="45">
        <f t="shared" si="0"/>
        <v>7500</v>
      </c>
      <c r="J14" s="50">
        <f t="shared" si="6"/>
        <v>87.5</v>
      </c>
      <c r="K14" s="45">
        <f t="shared" si="1"/>
        <v>6562.5</v>
      </c>
      <c r="L14" s="51">
        <v>100</v>
      </c>
      <c r="M14" s="45">
        <f t="shared" si="2"/>
        <v>7500</v>
      </c>
    </row>
    <row r="15" spans="1:13" x14ac:dyDescent="0.25">
      <c r="A15">
        <v>8</v>
      </c>
      <c r="B15">
        <v>75</v>
      </c>
      <c r="C15">
        <f t="shared" si="3"/>
        <v>3</v>
      </c>
      <c r="D15" s="51">
        <v>175</v>
      </c>
      <c r="E15" s="45">
        <f t="shared" si="4"/>
        <v>13125</v>
      </c>
      <c r="F15" s="73">
        <v>100</v>
      </c>
      <c r="G15" s="45">
        <f t="shared" si="5"/>
        <v>300</v>
      </c>
      <c r="H15" s="51">
        <v>100</v>
      </c>
      <c r="I15" s="45">
        <f t="shared" si="0"/>
        <v>7500</v>
      </c>
      <c r="J15" s="50">
        <f t="shared" si="6"/>
        <v>87.5</v>
      </c>
      <c r="K15" s="45">
        <f t="shared" si="1"/>
        <v>6562.5</v>
      </c>
      <c r="L15" s="51">
        <v>100</v>
      </c>
      <c r="M15" s="45">
        <f t="shared" si="2"/>
        <v>7500</v>
      </c>
    </row>
    <row r="16" spans="1:13" x14ac:dyDescent="0.25">
      <c r="A16">
        <v>9</v>
      </c>
      <c r="B16">
        <v>75</v>
      </c>
      <c r="C16">
        <f t="shared" si="3"/>
        <v>3</v>
      </c>
      <c r="D16" s="51">
        <v>100</v>
      </c>
      <c r="E16" s="45">
        <f t="shared" si="4"/>
        <v>7500</v>
      </c>
      <c r="F16" s="73">
        <v>100</v>
      </c>
      <c r="G16" s="45">
        <f t="shared" si="5"/>
        <v>300</v>
      </c>
      <c r="H16" s="51">
        <v>100</v>
      </c>
      <c r="I16" s="45">
        <f t="shared" si="0"/>
        <v>7500</v>
      </c>
      <c r="J16" s="50">
        <f t="shared" si="6"/>
        <v>87.5</v>
      </c>
      <c r="K16" s="45">
        <f t="shared" si="1"/>
        <v>6562.5</v>
      </c>
      <c r="L16" s="51">
        <v>100</v>
      </c>
      <c r="M16" s="45">
        <f t="shared" si="2"/>
        <v>7500</v>
      </c>
    </row>
    <row r="17" spans="1:13" x14ac:dyDescent="0.25">
      <c r="A17">
        <v>10</v>
      </c>
      <c r="B17">
        <v>75</v>
      </c>
      <c r="C17">
        <f t="shared" si="3"/>
        <v>3</v>
      </c>
      <c r="D17" s="51">
        <v>100</v>
      </c>
      <c r="E17" s="45">
        <f t="shared" si="4"/>
        <v>7500</v>
      </c>
      <c r="F17" s="73">
        <v>100</v>
      </c>
      <c r="G17" s="45">
        <f t="shared" si="5"/>
        <v>300</v>
      </c>
      <c r="H17" s="51">
        <v>100</v>
      </c>
      <c r="I17" s="45">
        <f t="shared" si="0"/>
        <v>7500</v>
      </c>
      <c r="J17" s="50">
        <f t="shared" si="6"/>
        <v>87.5</v>
      </c>
      <c r="K17" s="45">
        <f t="shared" si="1"/>
        <v>6562.5</v>
      </c>
      <c r="L17" s="51">
        <v>100</v>
      </c>
      <c r="M17" s="45">
        <f t="shared" si="2"/>
        <v>7500</v>
      </c>
    </row>
    <row r="18" spans="1:13" x14ac:dyDescent="0.25">
      <c r="A18">
        <v>11</v>
      </c>
      <c r="B18">
        <v>75</v>
      </c>
      <c r="C18">
        <f t="shared" si="3"/>
        <v>3</v>
      </c>
      <c r="D18" s="51">
        <v>100</v>
      </c>
      <c r="E18" s="45">
        <f t="shared" si="4"/>
        <v>7500</v>
      </c>
      <c r="F18" s="73">
        <v>100</v>
      </c>
      <c r="G18" s="45">
        <f t="shared" si="5"/>
        <v>300</v>
      </c>
      <c r="H18" s="51">
        <v>100</v>
      </c>
      <c r="I18" s="45">
        <f t="shared" si="0"/>
        <v>7500</v>
      </c>
      <c r="J18" s="50">
        <f t="shared" si="6"/>
        <v>87.5</v>
      </c>
      <c r="K18" s="45">
        <f t="shared" si="1"/>
        <v>6562.5</v>
      </c>
      <c r="L18" s="51">
        <v>100</v>
      </c>
      <c r="M18" s="45">
        <f t="shared" si="2"/>
        <v>7500</v>
      </c>
    </row>
    <row r="19" spans="1:13" x14ac:dyDescent="0.25">
      <c r="A19">
        <v>12</v>
      </c>
      <c r="B19">
        <v>75</v>
      </c>
      <c r="C19">
        <f t="shared" si="3"/>
        <v>3</v>
      </c>
      <c r="D19" s="51">
        <v>100</v>
      </c>
      <c r="E19" s="45">
        <f t="shared" si="4"/>
        <v>7500</v>
      </c>
      <c r="F19" s="73">
        <v>100</v>
      </c>
      <c r="G19" s="45">
        <f t="shared" si="5"/>
        <v>300</v>
      </c>
      <c r="H19" s="51">
        <v>100</v>
      </c>
      <c r="I19" s="45">
        <f t="shared" si="0"/>
        <v>7500</v>
      </c>
      <c r="J19" s="50">
        <f t="shared" si="6"/>
        <v>87.5</v>
      </c>
      <c r="K19" s="45">
        <f t="shared" si="1"/>
        <v>6562.5</v>
      </c>
      <c r="L19" s="51">
        <v>100</v>
      </c>
      <c r="M19" s="45">
        <f t="shared" si="2"/>
        <v>7500</v>
      </c>
    </row>
    <row r="20" spans="1:13" x14ac:dyDescent="0.25">
      <c r="D20" s="45">
        <f>SUM(D7:D19)</f>
        <v>2100</v>
      </c>
      <c r="E20" s="45"/>
      <c r="F20" s="45"/>
      <c r="G20" s="45"/>
      <c r="H20" s="45"/>
      <c r="I20" s="45"/>
      <c r="J20" s="45"/>
      <c r="K20" s="45"/>
      <c r="L20" s="45"/>
      <c r="M20" s="4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3"/>
  <sheetViews>
    <sheetView workbookViewId="0">
      <selection activeCell="B85" sqref="B85"/>
    </sheetView>
  </sheetViews>
  <sheetFormatPr defaultColWidth="8.85546875" defaultRowHeight="15" outlineLevelRow="2" x14ac:dyDescent="0.25"/>
  <cols>
    <col min="1" max="1" width="8.85546875" style="100"/>
    <col min="2" max="2" width="52.5703125" customWidth="1"/>
    <col min="3" max="3" width="1.7109375" customWidth="1"/>
    <col min="4" max="15" width="14.7109375" customWidth="1"/>
    <col min="16" max="16" width="1.7109375" customWidth="1"/>
    <col min="17" max="28" width="14.7109375" customWidth="1"/>
    <col min="29" max="29" width="1.7109375" customWidth="1"/>
    <col min="30" max="41" width="14.7109375" customWidth="1"/>
    <col min="42" max="42" width="1.7109375" customWidth="1"/>
  </cols>
  <sheetData>
    <row r="1" spans="1:42" x14ac:dyDescent="0.25">
      <c r="A1" s="57" t="str">
        <f>Assumptions!A1</f>
        <v>Nevada State High School's</v>
      </c>
    </row>
    <row r="2" spans="1:42" x14ac:dyDescent="0.25">
      <c r="A2" s="57" t="str">
        <f ca="1">RIGHT(CELL("filename",A1),LEN(CELL("filename",A1))-FIND("]",CELL("filename",A1)))</f>
        <v>Organizational Rollup</v>
      </c>
    </row>
    <row r="3" spans="1:42" s="30" customFormat="1" x14ac:dyDescent="0.25">
      <c r="A3" s="57"/>
      <c r="B3" s="79"/>
      <c r="D3" s="337" t="s">
        <v>290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Q3" s="337" t="s">
        <v>526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/>
      <c r="AD3" s="337" t="s">
        <v>553</v>
      </c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/>
    </row>
    <row r="4" spans="1:42" x14ac:dyDescent="0.25">
      <c r="A4" s="101" t="s">
        <v>24</v>
      </c>
      <c r="B4" s="4" t="s">
        <v>25</v>
      </c>
      <c r="D4" s="41" t="s">
        <v>61</v>
      </c>
      <c r="E4" s="41" t="s">
        <v>62</v>
      </c>
      <c r="F4" s="41" t="s">
        <v>63</v>
      </c>
      <c r="G4" s="41" t="s">
        <v>64</v>
      </c>
      <c r="H4" s="41" t="s">
        <v>65</v>
      </c>
      <c r="I4" s="41" t="s">
        <v>66</v>
      </c>
      <c r="J4" s="41" t="s">
        <v>204</v>
      </c>
      <c r="K4" s="41" t="s">
        <v>352</v>
      </c>
      <c r="L4" s="41" t="s">
        <v>353</v>
      </c>
      <c r="M4" s="41" t="s">
        <v>368</v>
      </c>
      <c r="N4" s="41" t="s">
        <v>368</v>
      </c>
      <c r="O4" s="41" t="s">
        <v>657</v>
      </c>
      <c r="Q4" s="3" t="str">
        <f>D4</f>
        <v>FY 2018-2019</v>
      </c>
      <c r="R4" s="3" t="str">
        <f t="shared" ref="R4:AB4" si="0">E4</f>
        <v>FY 2019-2020</v>
      </c>
      <c r="S4" s="3" t="str">
        <f t="shared" si="0"/>
        <v>FY 2020-2021</v>
      </c>
      <c r="T4" s="3" t="str">
        <f t="shared" si="0"/>
        <v>FY 2021-2022</v>
      </c>
      <c r="U4" s="3" t="str">
        <f t="shared" si="0"/>
        <v>FY 2022-2023</v>
      </c>
      <c r="V4" s="3" t="str">
        <f t="shared" si="0"/>
        <v>FY 2023-2024</v>
      </c>
      <c r="W4" s="3" t="str">
        <f t="shared" si="0"/>
        <v>FY 2024-2025</v>
      </c>
      <c r="X4" s="3" t="str">
        <f t="shared" si="0"/>
        <v>FY 2025-2026</v>
      </c>
      <c r="Y4" s="3" t="str">
        <f t="shared" si="0"/>
        <v>FY 2026-2027</v>
      </c>
      <c r="Z4" s="3" t="str">
        <f t="shared" si="0"/>
        <v>FY 2027-2028</v>
      </c>
      <c r="AA4" s="3" t="str">
        <f t="shared" si="0"/>
        <v>FY 2027-2028</v>
      </c>
      <c r="AB4" s="3" t="str">
        <f t="shared" si="0"/>
        <v>FY 2028-2029</v>
      </c>
      <c r="AC4" s="38"/>
      <c r="AD4" s="3" t="str">
        <f>D4</f>
        <v>FY 2018-2019</v>
      </c>
      <c r="AE4" s="3" t="str">
        <f t="shared" ref="AE4:AO4" si="1">E4</f>
        <v>FY 2019-2020</v>
      </c>
      <c r="AF4" s="3" t="str">
        <f t="shared" si="1"/>
        <v>FY 2020-2021</v>
      </c>
      <c r="AG4" s="3" t="str">
        <f t="shared" si="1"/>
        <v>FY 2021-2022</v>
      </c>
      <c r="AH4" s="3" t="str">
        <f t="shared" si="1"/>
        <v>FY 2022-2023</v>
      </c>
      <c r="AI4" s="3" t="str">
        <f t="shared" si="1"/>
        <v>FY 2023-2024</v>
      </c>
      <c r="AJ4" s="3" t="str">
        <f t="shared" si="1"/>
        <v>FY 2024-2025</v>
      </c>
      <c r="AK4" s="3" t="str">
        <f t="shared" si="1"/>
        <v>FY 2025-2026</v>
      </c>
      <c r="AL4" s="3" t="str">
        <f t="shared" si="1"/>
        <v>FY 2026-2027</v>
      </c>
      <c r="AM4" s="3" t="str">
        <f t="shared" si="1"/>
        <v>FY 2027-2028</v>
      </c>
      <c r="AN4" s="3" t="str">
        <f t="shared" si="1"/>
        <v>FY 2027-2028</v>
      </c>
      <c r="AO4" s="3" t="str">
        <f t="shared" si="1"/>
        <v>FY 2028-2029</v>
      </c>
      <c r="AP4" s="38"/>
    </row>
    <row r="5" spans="1:42" hidden="1" outlineLevel="1" x14ac:dyDescent="0.25">
      <c r="A5" s="258"/>
      <c r="B5" s="2" t="s">
        <v>366</v>
      </c>
      <c r="D5" s="154">
        <f>Q5+AD5</f>
        <v>5128012.5</v>
      </c>
      <c r="E5" s="154">
        <f t="shared" ref="E5:E20" si="2">R5+AE5</f>
        <v>5887905.5625</v>
      </c>
      <c r="F5" s="154">
        <f t="shared" ref="F5:F20" si="3">S5+AF5</f>
        <v>6942335.1140000019</v>
      </c>
      <c r="G5" s="154">
        <f t="shared" ref="G5:G20" si="4">T5+AG5</f>
        <v>7444502.8512881417</v>
      </c>
      <c r="H5" s="154">
        <f t="shared" ref="H5:H20" si="5">U5+AH5</f>
        <v>7843360.2370462529</v>
      </c>
      <c r="I5" s="154">
        <f t="shared" ref="I5:I20" si="6">V5+AI5</f>
        <v>8163034.4811264649</v>
      </c>
      <c r="J5" s="154">
        <f t="shared" ref="J5:J20" si="7">W5+AJ5</f>
        <v>8522238.8439300172</v>
      </c>
      <c r="K5" s="154">
        <f t="shared" ref="K5:K20" si="8">X5+AK5</f>
        <v>8886372.1014860552</v>
      </c>
      <c r="L5" s="154">
        <f t="shared" ref="L5:L20" si="9">Y5+AL5</f>
        <v>9291513.8696705997</v>
      </c>
      <c r="M5" s="154">
        <f t="shared" ref="M5:M20" si="10">Z5+AM5</f>
        <v>9702232.9059472065</v>
      </c>
      <c r="N5" s="154">
        <f t="shared" ref="N5:N20" si="11">AA5+AN5</f>
        <v>10133174.082283195</v>
      </c>
      <c r="O5" s="154">
        <f t="shared" ref="O5:O20" si="12">AB5+AO5</f>
        <v>10584836.117123606</v>
      </c>
      <c r="Q5" s="154">
        <f>'School Rollup'!D5</f>
        <v>3747896.25</v>
      </c>
      <c r="R5" s="154">
        <f>'School Rollup'!E5</f>
        <v>4342672.0837500002</v>
      </c>
      <c r="S5" s="154">
        <f>'School Rollup'!F5</f>
        <v>5111811.0943250014</v>
      </c>
      <c r="T5" s="154">
        <f>'School Rollup'!G5</f>
        <v>5472743.2023154525</v>
      </c>
      <c r="U5" s="154">
        <f>'School Rollup'!H5</f>
        <v>5766455.4559400361</v>
      </c>
      <c r="V5" s="154">
        <f>'School Rollup'!I5</f>
        <v>6007049.8564165374</v>
      </c>
      <c r="W5" s="154">
        <f>'School Rollup'!J5</f>
        <v>6275552.1456336193</v>
      </c>
      <c r="X5" s="154">
        <f>'School Rollup'!K5</f>
        <v>6547744.0726345312</v>
      </c>
      <c r="Y5" s="154">
        <f>'School Rollup'!L5</f>
        <v>6851039.1519433167</v>
      </c>
      <c r="Z5" s="154">
        <f>'School Rollup'!M5</f>
        <v>7158515.3468376501</v>
      </c>
      <c r="AA5" s="154">
        <f>'School Rollup'!N5</f>
        <v>7480427.1152223824</v>
      </c>
      <c r="AB5" s="154">
        <f>'School Rollup'!O5</f>
        <v>7819330.644994868</v>
      </c>
      <c r="AD5" s="31">
        <f>CSO!E23</f>
        <v>1380116.25</v>
      </c>
      <c r="AE5" s="31">
        <f>CSO!F23</f>
        <v>1545233.4787500002</v>
      </c>
      <c r="AF5" s="31">
        <f>CSO!G23</f>
        <v>1830524.0196750008</v>
      </c>
      <c r="AG5" s="31">
        <f>CSO!H23</f>
        <v>1971759.6489726896</v>
      </c>
      <c r="AH5" s="31">
        <f>CSO!I23</f>
        <v>2076904.7811062168</v>
      </c>
      <c r="AI5" s="31">
        <f>CSO!J23</f>
        <v>2155984.6247099279</v>
      </c>
      <c r="AJ5" s="31">
        <f>CSO!K23</f>
        <v>2246686.6982963975</v>
      </c>
      <c r="AK5" s="31">
        <f>CSO!L23</f>
        <v>2338628.028851524</v>
      </c>
      <c r="AL5" s="31">
        <f>CSO!M23</f>
        <v>2440474.717727283</v>
      </c>
      <c r="AM5" s="31">
        <f>CSO!N23</f>
        <v>2543717.559109556</v>
      </c>
      <c r="AN5" s="31">
        <f>CSO!O23</f>
        <v>2652746.9670608118</v>
      </c>
      <c r="AO5" s="31">
        <f>CSO!P23</f>
        <v>2765505.4721287377</v>
      </c>
    </row>
    <row r="6" spans="1:42" s="267" customFormat="1" collapsed="1" x14ac:dyDescent="0.25">
      <c r="A6" s="270"/>
      <c r="B6" s="270" t="s">
        <v>427</v>
      </c>
      <c r="D6" s="265">
        <f>Q6+AD6</f>
        <v>5128012.5</v>
      </c>
      <c r="E6" s="265">
        <f t="shared" si="2"/>
        <v>5887905.5625</v>
      </c>
      <c r="F6" s="265">
        <f t="shared" si="3"/>
        <v>6942335.1140000019</v>
      </c>
      <c r="G6" s="265">
        <f t="shared" si="4"/>
        <v>7444502.8512881417</v>
      </c>
      <c r="H6" s="265">
        <f t="shared" si="5"/>
        <v>7843360.2370462529</v>
      </c>
      <c r="I6" s="265">
        <f t="shared" si="6"/>
        <v>8163034.4811264649</v>
      </c>
      <c r="J6" s="265">
        <f t="shared" si="7"/>
        <v>8522238.8439300172</v>
      </c>
      <c r="K6" s="265">
        <f t="shared" si="8"/>
        <v>8886372.1014860552</v>
      </c>
      <c r="L6" s="265">
        <f t="shared" si="9"/>
        <v>9291513.8696705997</v>
      </c>
      <c r="M6" s="265">
        <f t="shared" si="10"/>
        <v>9702232.9059472065</v>
      </c>
      <c r="N6" s="265">
        <f t="shared" si="11"/>
        <v>10133174.082283195</v>
      </c>
      <c r="O6" s="265">
        <f t="shared" si="12"/>
        <v>10584836.117123606</v>
      </c>
      <c r="Q6" s="266">
        <f>'School Rollup'!D6</f>
        <v>3747896.25</v>
      </c>
      <c r="R6" s="266">
        <f>'School Rollup'!E6</f>
        <v>4342672.0837500002</v>
      </c>
      <c r="S6" s="266">
        <f>'School Rollup'!F6</f>
        <v>5111811.0943250014</v>
      </c>
      <c r="T6" s="266">
        <f>'School Rollup'!G6</f>
        <v>5472743.2023154525</v>
      </c>
      <c r="U6" s="266">
        <f>'School Rollup'!H6</f>
        <v>5766455.4559400361</v>
      </c>
      <c r="V6" s="266">
        <f>'School Rollup'!I6</f>
        <v>6007049.8564165374</v>
      </c>
      <c r="W6" s="266">
        <f>'School Rollup'!J6</f>
        <v>6275552.1456336193</v>
      </c>
      <c r="X6" s="266">
        <f>'School Rollup'!K6</f>
        <v>6547744.0726345312</v>
      </c>
      <c r="Y6" s="266">
        <f>'School Rollup'!L6</f>
        <v>6851039.1519433167</v>
      </c>
      <c r="Z6" s="266">
        <f>'School Rollup'!M6</f>
        <v>7158515.3468376501</v>
      </c>
      <c r="AA6" s="266">
        <f>'School Rollup'!N6</f>
        <v>7480427.1152223824</v>
      </c>
      <c r="AB6" s="266">
        <f>'School Rollup'!O6</f>
        <v>7819330.644994868</v>
      </c>
      <c r="AD6" s="266">
        <f>CSO!E24</f>
        <v>1380116.25</v>
      </c>
      <c r="AE6" s="266">
        <f>CSO!F24</f>
        <v>1545233.4787500002</v>
      </c>
      <c r="AF6" s="266">
        <f>CSO!G24</f>
        <v>1830524.0196750008</v>
      </c>
      <c r="AG6" s="266">
        <f>CSO!H24</f>
        <v>1971759.6489726896</v>
      </c>
      <c r="AH6" s="266">
        <f>CSO!I24</f>
        <v>2076904.7811062168</v>
      </c>
      <c r="AI6" s="266">
        <f>CSO!J24</f>
        <v>2155984.6247099279</v>
      </c>
      <c r="AJ6" s="266">
        <f>CSO!K24</f>
        <v>2246686.6982963975</v>
      </c>
      <c r="AK6" s="266">
        <f>CSO!L24</f>
        <v>2338628.028851524</v>
      </c>
      <c r="AL6" s="266">
        <f>CSO!M24</f>
        <v>2440474.717727283</v>
      </c>
      <c r="AM6" s="266">
        <f>CSO!N24</f>
        <v>2543717.559109556</v>
      </c>
      <c r="AN6" s="266">
        <f>CSO!O24</f>
        <v>2652746.9670608118</v>
      </c>
      <c r="AO6" s="266">
        <f>CSO!P24</f>
        <v>2765505.4721287377</v>
      </c>
    </row>
    <row r="7" spans="1:42" hidden="1" outlineLevel="1" x14ac:dyDescent="0.25">
      <c r="B7" s="102" t="s">
        <v>209</v>
      </c>
      <c r="D7" s="154">
        <f t="shared" ref="D7:D20" si="13">Q7+AD7</f>
        <v>11137.5</v>
      </c>
      <c r="E7" s="154">
        <f t="shared" si="2"/>
        <v>15236.1</v>
      </c>
      <c r="F7" s="154">
        <f t="shared" si="3"/>
        <v>17820</v>
      </c>
      <c r="G7" s="154">
        <f t="shared" si="4"/>
        <v>19067.399999999998</v>
      </c>
      <c r="H7" s="154">
        <f t="shared" si="5"/>
        <v>19958.399999999998</v>
      </c>
      <c r="I7" s="154">
        <f t="shared" si="6"/>
        <v>20671.2</v>
      </c>
      <c r="J7" s="154">
        <f t="shared" si="7"/>
        <v>21419.64</v>
      </c>
      <c r="K7" s="154">
        <f t="shared" si="8"/>
        <v>22168.080000000002</v>
      </c>
      <c r="L7" s="154">
        <f t="shared" si="9"/>
        <v>23005.62</v>
      </c>
      <c r="M7" s="154">
        <f t="shared" si="10"/>
        <v>23843.159999999996</v>
      </c>
      <c r="N7" s="154">
        <f t="shared" si="11"/>
        <v>24716.339999999997</v>
      </c>
      <c r="O7" s="154">
        <f t="shared" si="12"/>
        <v>25625.159999999996</v>
      </c>
      <c r="Q7" s="59">
        <f>'School Rollup'!D7</f>
        <v>1237.5</v>
      </c>
      <c r="R7" s="59">
        <f>'School Rollup'!E7</f>
        <v>2041.2</v>
      </c>
      <c r="S7" s="59">
        <f>'School Rollup'!F7</f>
        <v>2289.6</v>
      </c>
      <c r="T7" s="59">
        <f>'School Rollup'!G7</f>
        <v>2313.36</v>
      </c>
      <c r="U7" s="59">
        <f>'School Rollup'!H7</f>
        <v>2423.5200000000004</v>
      </c>
      <c r="V7" s="59">
        <f>'School Rollup'!I7</f>
        <v>2552.04</v>
      </c>
      <c r="W7" s="59">
        <f>'School Rollup'!J7</f>
        <v>2680.5600000000004</v>
      </c>
      <c r="X7" s="59">
        <f>'School Rollup'!K7</f>
        <v>2809.08</v>
      </c>
      <c r="Y7" s="59">
        <f>'School Rollup'!L7</f>
        <v>2955.96</v>
      </c>
      <c r="Z7" s="59">
        <f>'School Rollup'!M7</f>
        <v>3102.84</v>
      </c>
      <c r="AA7" s="59">
        <f>'School Rollup'!N7</f>
        <v>3249.72</v>
      </c>
      <c r="AB7" s="59">
        <f>'School Rollup'!O7</f>
        <v>3414.96</v>
      </c>
      <c r="AD7" s="31">
        <f>CSO!E25</f>
        <v>9900</v>
      </c>
      <c r="AE7" s="31">
        <f>CSO!F25</f>
        <v>13194.9</v>
      </c>
      <c r="AF7" s="31">
        <f>CSO!G25</f>
        <v>15530.4</v>
      </c>
      <c r="AG7" s="31">
        <f>CSO!H25</f>
        <v>16754.039999999997</v>
      </c>
      <c r="AH7" s="31">
        <f>CSO!I25</f>
        <v>17534.879999999997</v>
      </c>
      <c r="AI7" s="31">
        <f>CSO!J25</f>
        <v>18119.16</v>
      </c>
      <c r="AJ7" s="31">
        <f>CSO!K25</f>
        <v>18739.079999999998</v>
      </c>
      <c r="AK7" s="31">
        <f>CSO!L25</f>
        <v>19359</v>
      </c>
      <c r="AL7" s="31">
        <f>CSO!M25</f>
        <v>20049.66</v>
      </c>
      <c r="AM7" s="31">
        <f>CSO!N25</f>
        <v>20740.319999999996</v>
      </c>
      <c r="AN7" s="31">
        <f>CSO!O25</f>
        <v>21466.619999999995</v>
      </c>
      <c r="AO7" s="31">
        <f>CSO!P25</f>
        <v>22210.199999999997</v>
      </c>
    </row>
    <row r="8" spans="1:42" hidden="1" outlineLevel="1" x14ac:dyDescent="0.25">
      <c r="B8" s="102" t="s">
        <v>151</v>
      </c>
      <c r="D8" s="154">
        <f t="shared" si="13"/>
        <v>0</v>
      </c>
      <c r="E8" s="154">
        <f t="shared" si="2"/>
        <v>0</v>
      </c>
      <c r="F8" s="154">
        <f t="shared" si="3"/>
        <v>0</v>
      </c>
      <c r="G8" s="154">
        <f t="shared" si="4"/>
        <v>0</v>
      </c>
      <c r="H8" s="154">
        <f t="shared" si="5"/>
        <v>0</v>
      </c>
      <c r="I8" s="154">
        <f t="shared" si="6"/>
        <v>0</v>
      </c>
      <c r="J8" s="154">
        <f t="shared" si="7"/>
        <v>0</v>
      </c>
      <c r="K8" s="154">
        <f t="shared" si="8"/>
        <v>0</v>
      </c>
      <c r="L8" s="154">
        <f t="shared" si="9"/>
        <v>0</v>
      </c>
      <c r="M8" s="154">
        <f t="shared" si="10"/>
        <v>0</v>
      </c>
      <c r="N8" s="154">
        <f t="shared" si="11"/>
        <v>0</v>
      </c>
      <c r="O8" s="154">
        <f t="shared" si="12"/>
        <v>0</v>
      </c>
      <c r="Q8" s="59">
        <f>'School Rollup'!D8</f>
        <v>0</v>
      </c>
      <c r="R8" s="59">
        <f>'School Rollup'!E8</f>
        <v>0</v>
      </c>
      <c r="S8" s="59">
        <f>'School Rollup'!F8</f>
        <v>0</v>
      </c>
      <c r="T8" s="59">
        <f>'School Rollup'!G8</f>
        <v>0</v>
      </c>
      <c r="U8" s="59">
        <f>'School Rollup'!H8</f>
        <v>0</v>
      </c>
      <c r="V8" s="59">
        <f>'School Rollup'!I8</f>
        <v>0</v>
      </c>
      <c r="W8" s="59">
        <f>'School Rollup'!J8</f>
        <v>0</v>
      </c>
      <c r="X8" s="59">
        <f>'School Rollup'!K8</f>
        <v>0</v>
      </c>
      <c r="Y8" s="59">
        <f>'School Rollup'!L8</f>
        <v>0</v>
      </c>
      <c r="Z8" s="59">
        <f>'School Rollup'!M8</f>
        <v>0</v>
      </c>
      <c r="AA8" s="59">
        <f>'School Rollup'!N8</f>
        <v>0</v>
      </c>
      <c r="AB8" s="59">
        <f>'School Rollup'!O8</f>
        <v>0</v>
      </c>
      <c r="AD8" s="31">
        <f>CSO!E26</f>
        <v>0</v>
      </c>
      <c r="AE8" s="31">
        <f>CSO!F26</f>
        <v>0</v>
      </c>
      <c r="AF8" s="31">
        <f>CSO!G26</f>
        <v>0</v>
      </c>
      <c r="AG8" s="31">
        <f>CSO!H26</f>
        <v>0</v>
      </c>
      <c r="AH8" s="31">
        <f>CSO!I26</f>
        <v>0</v>
      </c>
      <c r="AI8" s="31">
        <f>CSO!J26</f>
        <v>0</v>
      </c>
      <c r="AJ8" s="31">
        <f>CSO!K26</f>
        <v>0</v>
      </c>
      <c r="AK8" s="31">
        <f>CSO!L26</f>
        <v>0</v>
      </c>
      <c r="AL8" s="31">
        <f>CSO!M26</f>
        <v>0</v>
      </c>
      <c r="AM8" s="31">
        <f>CSO!N26</f>
        <v>0</v>
      </c>
      <c r="AN8" s="31">
        <f>CSO!O26</f>
        <v>0</v>
      </c>
      <c r="AO8" s="31">
        <f>CSO!P26</f>
        <v>0</v>
      </c>
    </row>
    <row r="9" spans="1:42" hidden="1" outlineLevel="1" x14ac:dyDescent="0.25">
      <c r="B9" s="102" t="s">
        <v>271</v>
      </c>
      <c r="D9" s="154">
        <f t="shared" si="13"/>
        <v>40837.5</v>
      </c>
      <c r="E9" s="154">
        <f t="shared" si="2"/>
        <v>33858</v>
      </c>
      <c r="F9" s="154">
        <f t="shared" si="3"/>
        <v>39600</v>
      </c>
      <c r="G9" s="154">
        <f t="shared" si="4"/>
        <v>42372</v>
      </c>
      <c r="H9" s="154">
        <f t="shared" si="5"/>
        <v>44352</v>
      </c>
      <c r="I9" s="154">
        <f t="shared" si="6"/>
        <v>45936</v>
      </c>
      <c r="J9" s="154">
        <f t="shared" si="7"/>
        <v>47599.199999999997</v>
      </c>
      <c r="K9" s="154">
        <f t="shared" si="8"/>
        <v>49262.399999999994</v>
      </c>
      <c r="L9" s="154">
        <f t="shared" si="9"/>
        <v>51123.6</v>
      </c>
      <c r="M9" s="154">
        <f t="shared" si="10"/>
        <v>52984.799999999996</v>
      </c>
      <c r="N9" s="154">
        <f t="shared" si="11"/>
        <v>54925.2</v>
      </c>
      <c r="O9" s="154">
        <f t="shared" si="12"/>
        <v>56944.799999999996</v>
      </c>
      <c r="Q9" s="59">
        <f>'School Rollup'!D9</f>
        <v>4537.5</v>
      </c>
      <c r="R9" s="59">
        <f>'School Rollup'!E9</f>
        <v>4536</v>
      </c>
      <c r="S9" s="59">
        <f>'School Rollup'!F9</f>
        <v>5088</v>
      </c>
      <c r="T9" s="59">
        <f>'School Rollup'!G9</f>
        <v>5140.8</v>
      </c>
      <c r="U9" s="59">
        <f>'School Rollup'!H9</f>
        <v>5385.6</v>
      </c>
      <c r="V9" s="59">
        <f>'School Rollup'!I9</f>
        <v>5671.2</v>
      </c>
      <c r="W9" s="59">
        <f>'School Rollup'!J9</f>
        <v>5956.8000000000011</v>
      </c>
      <c r="X9" s="59">
        <f>'School Rollup'!K9</f>
        <v>6242.4</v>
      </c>
      <c r="Y9" s="59">
        <f>'School Rollup'!L9</f>
        <v>6568.8</v>
      </c>
      <c r="Z9" s="59">
        <f>'School Rollup'!M9</f>
        <v>6895.2</v>
      </c>
      <c r="AA9" s="59">
        <f>'School Rollup'!N9</f>
        <v>7221.5999999999995</v>
      </c>
      <c r="AB9" s="59">
        <f>'School Rollup'!O9</f>
        <v>7588.8</v>
      </c>
      <c r="AD9" s="31">
        <f>CSO!E27</f>
        <v>36300</v>
      </c>
      <c r="AE9" s="31">
        <f>CSO!F27</f>
        <v>29322</v>
      </c>
      <c r="AF9" s="31">
        <f>CSO!G27</f>
        <v>34512</v>
      </c>
      <c r="AG9" s="31">
        <f>CSO!H27</f>
        <v>37231.199999999997</v>
      </c>
      <c r="AH9" s="31">
        <f>CSO!I27</f>
        <v>38966.400000000001</v>
      </c>
      <c r="AI9" s="31">
        <f>CSO!J27</f>
        <v>40264.800000000003</v>
      </c>
      <c r="AJ9" s="31">
        <f>CSO!K27</f>
        <v>41642.399999999994</v>
      </c>
      <c r="AK9" s="31">
        <f>CSO!L27</f>
        <v>43019.999999999993</v>
      </c>
      <c r="AL9" s="31">
        <f>CSO!M27</f>
        <v>44554.799999999996</v>
      </c>
      <c r="AM9" s="31">
        <f>CSO!N27</f>
        <v>46089.599999999999</v>
      </c>
      <c r="AN9" s="31">
        <f>CSO!O27</f>
        <v>47703.6</v>
      </c>
      <c r="AO9" s="31">
        <f>CSO!P27</f>
        <v>49355.999999999993</v>
      </c>
    </row>
    <row r="10" spans="1:42" hidden="1" outlineLevel="1" x14ac:dyDescent="0.25">
      <c r="B10" s="102" t="s">
        <v>369</v>
      </c>
      <c r="D10" s="154">
        <f t="shared" si="13"/>
        <v>18000</v>
      </c>
      <c r="E10" s="154">
        <f t="shared" si="2"/>
        <v>18360</v>
      </c>
      <c r="F10" s="154">
        <f t="shared" si="3"/>
        <v>18720</v>
      </c>
      <c r="G10" s="154">
        <f t="shared" si="4"/>
        <v>19080</v>
      </c>
      <c r="H10" s="154">
        <f t="shared" si="5"/>
        <v>19440</v>
      </c>
      <c r="I10" s="154">
        <f t="shared" si="6"/>
        <v>19800.000000000004</v>
      </c>
      <c r="J10" s="154">
        <f t="shared" si="7"/>
        <v>20160.000000000004</v>
      </c>
      <c r="K10" s="154">
        <f t="shared" si="8"/>
        <v>20520.000000000004</v>
      </c>
      <c r="L10" s="154">
        <f t="shared" si="9"/>
        <v>20879.999999999996</v>
      </c>
      <c r="M10" s="154">
        <f t="shared" si="10"/>
        <v>21240</v>
      </c>
      <c r="N10" s="154">
        <f t="shared" si="11"/>
        <v>21600</v>
      </c>
      <c r="O10" s="154">
        <f t="shared" si="12"/>
        <v>21960</v>
      </c>
      <c r="Q10" s="59">
        <f>'School Rollup'!D10</f>
        <v>0</v>
      </c>
      <c r="R10" s="59">
        <f>'School Rollup'!E10</f>
        <v>0</v>
      </c>
      <c r="S10" s="59">
        <f>'School Rollup'!F10</f>
        <v>0</v>
      </c>
      <c r="T10" s="59">
        <f>'School Rollup'!G10</f>
        <v>0</v>
      </c>
      <c r="U10" s="59">
        <f>'School Rollup'!H10</f>
        <v>0</v>
      </c>
      <c r="V10" s="59">
        <f>'School Rollup'!I10</f>
        <v>0</v>
      </c>
      <c r="W10" s="59">
        <f>'School Rollup'!J10</f>
        <v>0</v>
      </c>
      <c r="X10" s="59">
        <f>'School Rollup'!K10</f>
        <v>0</v>
      </c>
      <c r="Y10" s="59">
        <f>'School Rollup'!L10</f>
        <v>0</v>
      </c>
      <c r="Z10" s="59">
        <f>'School Rollup'!M10</f>
        <v>0</v>
      </c>
      <c r="AA10" s="59">
        <f>'School Rollup'!N10</f>
        <v>0</v>
      </c>
      <c r="AB10" s="59">
        <f>'School Rollup'!O10</f>
        <v>0</v>
      </c>
      <c r="AD10" s="31">
        <f>CSO!E28</f>
        <v>18000</v>
      </c>
      <c r="AE10" s="31">
        <f>CSO!F28</f>
        <v>18360</v>
      </c>
      <c r="AF10" s="31">
        <f>CSO!G28</f>
        <v>18720</v>
      </c>
      <c r="AG10" s="31">
        <f>CSO!H28</f>
        <v>19080</v>
      </c>
      <c r="AH10" s="31">
        <f>CSO!I28</f>
        <v>19440</v>
      </c>
      <c r="AI10" s="31">
        <f>CSO!J28</f>
        <v>19800.000000000004</v>
      </c>
      <c r="AJ10" s="31">
        <f>CSO!K28</f>
        <v>20160.000000000004</v>
      </c>
      <c r="AK10" s="31">
        <f>CSO!L28</f>
        <v>20520.000000000004</v>
      </c>
      <c r="AL10" s="31">
        <f>CSO!M28</f>
        <v>20879.999999999996</v>
      </c>
      <c r="AM10" s="31">
        <f>CSO!N28</f>
        <v>21240</v>
      </c>
      <c r="AN10" s="31">
        <f>CSO!O28</f>
        <v>21600</v>
      </c>
      <c r="AO10" s="31">
        <f>CSO!P28</f>
        <v>21960</v>
      </c>
    </row>
    <row r="11" spans="1:42" s="121" customFormat="1" collapsed="1" x14ac:dyDescent="0.25">
      <c r="B11" s="259" t="s">
        <v>428</v>
      </c>
      <c r="C11" s="16"/>
      <c r="D11" s="260">
        <f t="shared" si="13"/>
        <v>69975</v>
      </c>
      <c r="E11" s="260">
        <f t="shared" si="2"/>
        <v>67454.100000000006</v>
      </c>
      <c r="F11" s="260">
        <f t="shared" si="3"/>
        <v>76140</v>
      </c>
      <c r="G11" s="260">
        <f t="shared" si="4"/>
        <v>80519.399999999994</v>
      </c>
      <c r="H11" s="260">
        <f t="shared" si="5"/>
        <v>83750.399999999994</v>
      </c>
      <c r="I11" s="260">
        <f t="shared" si="6"/>
        <v>86407.200000000012</v>
      </c>
      <c r="J11" s="260">
        <f t="shared" si="7"/>
        <v>89178.84</v>
      </c>
      <c r="K11" s="260">
        <f t="shared" si="8"/>
        <v>91950.48</v>
      </c>
      <c r="L11" s="260">
        <f t="shared" si="9"/>
        <v>95009.219999999987</v>
      </c>
      <c r="M11" s="260">
        <f t="shared" si="10"/>
        <v>98067.959999999992</v>
      </c>
      <c r="N11" s="260">
        <f t="shared" si="11"/>
        <v>101241.54000000001</v>
      </c>
      <c r="O11" s="260">
        <f t="shared" si="12"/>
        <v>104529.95999999998</v>
      </c>
      <c r="P11" s="16"/>
      <c r="Q11" s="292">
        <f>'School Rollup'!D11</f>
        <v>5775</v>
      </c>
      <c r="R11" s="292">
        <f>'School Rollup'!E11</f>
        <v>6577.2</v>
      </c>
      <c r="S11" s="292">
        <f>'School Rollup'!F11</f>
        <v>7377.6</v>
      </c>
      <c r="T11" s="292">
        <f>'School Rollup'!G11</f>
        <v>7454.16</v>
      </c>
      <c r="U11" s="292">
        <f>'School Rollup'!H11</f>
        <v>7809.1200000000008</v>
      </c>
      <c r="V11" s="292">
        <f>'School Rollup'!I11</f>
        <v>8223.24</v>
      </c>
      <c r="W11" s="292">
        <f>'School Rollup'!J11</f>
        <v>8637.36</v>
      </c>
      <c r="X11" s="292">
        <f>'School Rollup'!K11</f>
        <v>9051.48</v>
      </c>
      <c r="Y11" s="292">
        <f>'School Rollup'!L11</f>
        <v>9524.76</v>
      </c>
      <c r="Z11" s="292">
        <f>'School Rollup'!M11</f>
        <v>9998.0400000000009</v>
      </c>
      <c r="AA11" s="292">
        <f>'School Rollup'!N11</f>
        <v>10471.32</v>
      </c>
      <c r="AB11" s="292">
        <f>'School Rollup'!O11</f>
        <v>11003.76</v>
      </c>
      <c r="AC11" s="30"/>
      <c r="AD11" s="261">
        <f>CSO!E29</f>
        <v>64200</v>
      </c>
      <c r="AE11" s="261">
        <f>CSO!F29</f>
        <v>60876.9</v>
      </c>
      <c r="AF11" s="261">
        <f>CSO!G29</f>
        <v>68762.399999999994</v>
      </c>
      <c r="AG11" s="261">
        <f>CSO!H29</f>
        <v>73065.239999999991</v>
      </c>
      <c r="AH11" s="261">
        <f>CSO!I29</f>
        <v>75941.279999999999</v>
      </c>
      <c r="AI11" s="261">
        <f>CSO!J29</f>
        <v>78183.960000000006</v>
      </c>
      <c r="AJ11" s="261">
        <f>CSO!K29</f>
        <v>80541.48</v>
      </c>
      <c r="AK11" s="261">
        <f>CSO!L29</f>
        <v>82899</v>
      </c>
      <c r="AL11" s="261">
        <f>CSO!M29</f>
        <v>85484.459999999992</v>
      </c>
      <c r="AM11" s="261">
        <f>CSO!N29</f>
        <v>88069.92</v>
      </c>
      <c r="AN11" s="261">
        <f>CSO!O29</f>
        <v>90770.22</v>
      </c>
      <c r="AO11" s="261">
        <f>CSO!P29</f>
        <v>93526.199999999983</v>
      </c>
      <c r="AP11" s="30"/>
    </row>
    <row r="12" spans="1:42" s="6" customFormat="1" hidden="1" outlineLevel="1" x14ac:dyDescent="0.25">
      <c r="B12" s="144" t="s">
        <v>155</v>
      </c>
      <c r="C12" s="2"/>
      <c r="D12" s="154">
        <f t="shared" si="13"/>
        <v>11137.5</v>
      </c>
      <c r="E12" s="154">
        <f t="shared" si="2"/>
        <v>15236.1</v>
      </c>
      <c r="F12" s="154">
        <f t="shared" si="3"/>
        <v>17820</v>
      </c>
      <c r="G12" s="154">
        <f t="shared" si="4"/>
        <v>19067.399999999998</v>
      </c>
      <c r="H12" s="154">
        <f t="shared" si="5"/>
        <v>19958.399999999998</v>
      </c>
      <c r="I12" s="154">
        <f t="shared" si="6"/>
        <v>20671.2</v>
      </c>
      <c r="J12" s="154">
        <f t="shared" si="7"/>
        <v>21419.64</v>
      </c>
      <c r="K12" s="154">
        <f t="shared" si="8"/>
        <v>22168.080000000002</v>
      </c>
      <c r="L12" s="154">
        <f t="shared" si="9"/>
        <v>23005.62</v>
      </c>
      <c r="M12" s="154">
        <f t="shared" si="10"/>
        <v>23843.159999999996</v>
      </c>
      <c r="N12" s="154">
        <f t="shared" si="11"/>
        <v>24716.339999999997</v>
      </c>
      <c r="O12" s="154">
        <f t="shared" si="12"/>
        <v>25625.159999999996</v>
      </c>
      <c r="P12" s="2"/>
      <c r="Q12" s="59">
        <f>'School Rollup'!D12</f>
        <v>1237.5</v>
      </c>
      <c r="R12" s="59">
        <f>'School Rollup'!E12</f>
        <v>2041.2</v>
      </c>
      <c r="S12" s="59">
        <f>'School Rollup'!F12</f>
        <v>2289.6</v>
      </c>
      <c r="T12" s="59">
        <f>'School Rollup'!G12</f>
        <v>2313.36</v>
      </c>
      <c r="U12" s="59">
        <f>'School Rollup'!H12</f>
        <v>2423.5200000000004</v>
      </c>
      <c r="V12" s="59">
        <f>'School Rollup'!I12</f>
        <v>2552.04</v>
      </c>
      <c r="W12" s="59">
        <f>'School Rollup'!J12</f>
        <v>2680.5600000000004</v>
      </c>
      <c r="X12" s="59">
        <f>'School Rollup'!K12</f>
        <v>2809.08</v>
      </c>
      <c r="Y12" s="59">
        <f>'School Rollup'!L12</f>
        <v>2955.96</v>
      </c>
      <c r="Z12" s="59">
        <f>'School Rollup'!M12</f>
        <v>3102.84</v>
      </c>
      <c r="AA12" s="59">
        <f>'School Rollup'!N12</f>
        <v>3249.72</v>
      </c>
      <c r="AB12" s="59">
        <f>'School Rollup'!O12</f>
        <v>3414.96</v>
      </c>
      <c r="AC12"/>
      <c r="AD12" s="6">
        <f>CSO!E30</f>
        <v>9900</v>
      </c>
      <c r="AE12" s="6">
        <f>CSO!F30</f>
        <v>13194.9</v>
      </c>
      <c r="AF12" s="6">
        <f>CSO!G30</f>
        <v>15530.4</v>
      </c>
      <c r="AG12" s="6">
        <f>CSO!H30</f>
        <v>16754.039999999997</v>
      </c>
      <c r="AH12" s="6">
        <f>CSO!I30</f>
        <v>17534.879999999997</v>
      </c>
      <c r="AI12" s="6">
        <f>CSO!J30</f>
        <v>18119.16</v>
      </c>
      <c r="AJ12" s="6">
        <f>CSO!K30</f>
        <v>18739.079999999998</v>
      </c>
      <c r="AK12" s="6">
        <f>CSO!L30</f>
        <v>19359</v>
      </c>
      <c r="AL12" s="6">
        <f>CSO!M30</f>
        <v>20049.66</v>
      </c>
      <c r="AM12" s="6">
        <f>CSO!N30</f>
        <v>20740.319999999996</v>
      </c>
      <c r="AN12" s="6">
        <f>CSO!O30</f>
        <v>21466.619999999995</v>
      </c>
      <c r="AO12" s="6">
        <f>CSO!P30</f>
        <v>22210.199999999997</v>
      </c>
      <c r="AP12"/>
    </row>
    <row r="13" spans="1:42" s="6" customFormat="1" hidden="1" outlineLevel="1" x14ac:dyDescent="0.25">
      <c r="B13" s="144" t="s">
        <v>363</v>
      </c>
      <c r="C13" s="2"/>
      <c r="D13" s="154">
        <f t="shared" si="13"/>
        <v>0</v>
      </c>
      <c r="E13" s="154">
        <f t="shared" si="2"/>
        <v>0</v>
      </c>
      <c r="F13" s="154">
        <f t="shared" si="3"/>
        <v>0</v>
      </c>
      <c r="G13" s="154">
        <f t="shared" si="4"/>
        <v>0</v>
      </c>
      <c r="H13" s="154">
        <f t="shared" si="5"/>
        <v>0</v>
      </c>
      <c r="I13" s="154">
        <f t="shared" si="6"/>
        <v>0</v>
      </c>
      <c r="J13" s="154">
        <f t="shared" si="7"/>
        <v>0</v>
      </c>
      <c r="K13" s="154">
        <f t="shared" si="8"/>
        <v>0</v>
      </c>
      <c r="L13" s="154">
        <f t="shared" si="9"/>
        <v>0</v>
      </c>
      <c r="M13" s="154">
        <f t="shared" si="10"/>
        <v>0</v>
      </c>
      <c r="N13" s="154">
        <f t="shared" si="11"/>
        <v>0</v>
      </c>
      <c r="O13" s="154">
        <f t="shared" si="12"/>
        <v>0</v>
      </c>
      <c r="P13" s="2"/>
      <c r="Q13" s="59">
        <f>'School Rollup'!D13</f>
        <v>0</v>
      </c>
      <c r="R13" s="59">
        <f>'School Rollup'!E13</f>
        <v>0</v>
      </c>
      <c r="S13" s="59">
        <f>'School Rollup'!F13</f>
        <v>0</v>
      </c>
      <c r="T13" s="59">
        <f>'School Rollup'!G13</f>
        <v>0</v>
      </c>
      <c r="U13" s="59">
        <f>'School Rollup'!H13</f>
        <v>0</v>
      </c>
      <c r="V13" s="59">
        <f>'School Rollup'!I13</f>
        <v>0</v>
      </c>
      <c r="W13" s="59">
        <f>'School Rollup'!J13</f>
        <v>0</v>
      </c>
      <c r="X13" s="59">
        <f>'School Rollup'!K13</f>
        <v>0</v>
      </c>
      <c r="Y13" s="59">
        <f>'School Rollup'!L13</f>
        <v>0</v>
      </c>
      <c r="Z13" s="59">
        <f>'School Rollup'!M13</f>
        <v>0</v>
      </c>
      <c r="AA13" s="59">
        <f>'School Rollup'!N13</f>
        <v>0</v>
      </c>
      <c r="AB13" s="59">
        <f>'School Rollup'!O13</f>
        <v>0</v>
      </c>
      <c r="AC13"/>
      <c r="AD13" s="6">
        <f>CSO!E31</f>
        <v>0</v>
      </c>
      <c r="AE13" s="6">
        <f>CSO!F31</f>
        <v>0</v>
      </c>
      <c r="AF13" s="6">
        <f>CSO!G31</f>
        <v>0</v>
      </c>
      <c r="AG13" s="6">
        <f>CSO!H31</f>
        <v>0</v>
      </c>
      <c r="AH13" s="6">
        <f>CSO!I31</f>
        <v>0</v>
      </c>
      <c r="AI13" s="6">
        <f>CSO!J31</f>
        <v>0</v>
      </c>
      <c r="AJ13" s="6">
        <f>CSO!K31</f>
        <v>0</v>
      </c>
      <c r="AK13" s="6">
        <f>CSO!L31</f>
        <v>0</v>
      </c>
      <c r="AL13" s="6">
        <f>CSO!M31</f>
        <v>0</v>
      </c>
      <c r="AM13" s="6">
        <f>CSO!N31</f>
        <v>0</v>
      </c>
      <c r="AN13" s="6">
        <f>CSO!O31</f>
        <v>0</v>
      </c>
      <c r="AO13" s="6">
        <f>CSO!P31</f>
        <v>0</v>
      </c>
      <c r="AP13"/>
    </row>
    <row r="14" spans="1:42" s="6" customFormat="1" hidden="1" outlineLevel="1" x14ac:dyDescent="0.25">
      <c r="B14" s="144" t="s">
        <v>364</v>
      </c>
      <c r="C14" s="2"/>
      <c r="D14" s="154">
        <f t="shared" si="13"/>
        <v>0</v>
      </c>
      <c r="E14" s="154">
        <f t="shared" si="2"/>
        <v>0</v>
      </c>
      <c r="F14" s="154">
        <f t="shared" si="3"/>
        <v>0</v>
      </c>
      <c r="G14" s="154">
        <f t="shared" si="4"/>
        <v>0</v>
      </c>
      <c r="H14" s="154">
        <f t="shared" si="5"/>
        <v>0</v>
      </c>
      <c r="I14" s="154">
        <f t="shared" si="6"/>
        <v>0</v>
      </c>
      <c r="J14" s="154">
        <f t="shared" si="7"/>
        <v>0</v>
      </c>
      <c r="K14" s="154">
        <f t="shared" si="8"/>
        <v>0</v>
      </c>
      <c r="L14" s="154">
        <f t="shared" si="9"/>
        <v>0</v>
      </c>
      <c r="M14" s="154">
        <f t="shared" si="10"/>
        <v>0</v>
      </c>
      <c r="N14" s="154">
        <f t="shared" si="11"/>
        <v>0</v>
      </c>
      <c r="O14" s="154">
        <f t="shared" si="12"/>
        <v>0</v>
      </c>
      <c r="P14" s="2"/>
      <c r="Q14" s="59">
        <f>'School Rollup'!D14</f>
        <v>0</v>
      </c>
      <c r="R14" s="59">
        <f>'School Rollup'!E14</f>
        <v>0</v>
      </c>
      <c r="S14" s="59">
        <f>'School Rollup'!F14</f>
        <v>0</v>
      </c>
      <c r="T14" s="59">
        <f>'School Rollup'!G14</f>
        <v>0</v>
      </c>
      <c r="U14" s="59">
        <f>'School Rollup'!H14</f>
        <v>0</v>
      </c>
      <c r="V14" s="59">
        <f>'School Rollup'!I14</f>
        <v>0</v>
      </c>
      <c r="W14" s="59">
        <f>'School Rollup'!J14</f>
        <v>0</v>
      </c>
      <c r="X14" s="59">
        <f>'School Rollup'!K14</f>
        <v>0</v>
      </c>
      <c r="Y14" s="59">
        <f>'School Rollup'!L14</f>
        <v>0</v>
      </c>
      <c r="Z14" s="59">
        <f>'School Rollup'!M14</f>
        <v>0</v>
      </c>
      <c r="AA14" s="59">
        <f>'School Rollup'!N14</f>
        <v>0</v>
      </c>
      <c r="AB14" s="59">
        <f>'School Rollup'!O14</f>
        <v>0</v>
      </c>
      <c r="AC14"/>
      <c r="AD14" s="6">
        <f>CSO!E32</f>
        <v>0</v>
      </c>
      <c r="AE14" s="6">
        <f>CSO!F32</f>
        <v>0</v>
      </c>
      <c r="AF14" s="6">
        <f>CSO!G32</f>
        <v>0</v>
      </c>
      <c r="AG14" s="6">
        <f>CSO!H32</f>
        <v>0</v>
      </c>
      <c r="AH14" s="6">
        <f>CSO!I32</f>
        <v>0</v>
      </c>
      <c r="AI14" s="6">
        <f>CSO!J32</f>
        <v>0</v>
      </c>
      <c r="AJ14" s="6">
        <f>CSO!K32</f>
        <v>0</v>
      </c>
      <c r="AK14" s="6">
        <f>CSO!L32</f>
        <v>0</v>
      </c>
      <c r="AL14" s="6">
        <f>CSO!M32</f>
        <v>0</v>
      </c>
      <c r="AM14" s="6">
        <f>CSO!N32</f>
        <v>0</v>
      </c>
      <c r="AN14" s="6">
        <f>CSO!O32</f>
        <v>0</v>
      </c>
      <c r="AO14" s="6">
        <f>CSO!P32</f>
        <v>0</v>
      </c>
      <c r="AP14"/>
    </row>
    <row r="15" spans="1:42" s="6" customFormat="1" hidden="1" outlineLevel="1" x14ac:dyDescent="0.25">
      <c r="B15" s="144" t="s">
        <v>365</v>
      </c>
      <c r="C15" s="2"/>
      <c r="D15" s="154">
        <f t="shared" si="13"/>
        <v>0</v>
      </c>
      <c r="E15" s="154">
        <f t="shared" si="2"/>
        <v>0</v>
      </c>
      <c r="F15" s="154">
        <f t="shared" si="3"/>
        <v>0</v>
      </c>
      <c r="G15" s="154">
        <f t="shared" si="4"/>
        <v>0</v>
      </c>
      <c r="H15" s="154">
        <f t="shared" si="5"/>
        <v>0</v>
      </c>
      <c r="I15" s="154">
        <f t="shared" si="6"/>
        <v>0</v>
      </c>
      <c r="J15" s="154">
        <f t="shared" si="7"/>
        <v>0</v>
      </c>
      <c r="K15" s="154">
        <f t="shared" si="8"/>
        <v>0</v>
      </c>
      <c r="L15" s="154">
        <f t="shared" si="9"/>
        <v>0</v>
      </c>
      <c r="M15" s="154">
        <f t="shared" si="10"/>
        <v>0</v>
      </c>
      <c r="N15" s="154">
        <f t="shared" si="11"/>
        <v>0</v>
      </c>
      <c r="O15" s="154">
        <f t="shared" si="12"/>
        <v>0</v>
      </c>
      <c r="P15" s="2"/>
      <c r="Q15" s="59">
        <f>'School Rollup'!D15</f>
        <v>0</v>
      </c>
      <c r="R15" s="59">
        <f>'School Rollup'!E15</f>
        <v>0</v>
      </c>
      <c r="S15" s="59">
        <f>'School Rollup'!F15</f>
        <v>0</v>
      </c>
      <c r="T15" s="59">
        <f>'School Rollup'!G15</f>
        <v>0</v>
      </c>
      <c r="U15" s="59">
        <f>'School Rollup'!H15</f>
        <v>0</v>
      </c>
      <c r="V15" s="59">
        <f>'School Rollup'!I15</f>
        <v>0</v>
      </c>
      <c r="W15" s="59">
        <f>'School Rollup'!J15</f>
        <v>0</v>
      </c>
      <c r="X15" s="59">
        <f>'School Rollup'!K15</f>
        <v>0</v>
      </c>
      <c r="Y15" s="59">
        <f>'School Rollup'!L15</f>
        <v>0</v>
      </c>
      <c r="Z15" s="59">
        <f>'School Rollup'!M15</f>
        <v>0</v>
      </c>
      <c r="AA15" s="59">
        <f>'School Rollup'!N15</f>
        <v>0</v>
      </c>
      <c r="AB15" s="59">
        <f>'School Rollup'!O15</f>
        <v>0</v>
      </c>
      <c r="AC15"/>
      <c r="AD15" s="6">
        <f>CSO!E33</f>
        <v>0</v>
      </c>
      <c r="AE15" s="6">
        <f>CSO!F33</f>
        <v>0</v>
      </c>
      <c r="AF15" s="6">
        <f>CSO!G33</f>
        <v>0</v>
      </c>
      <c r="AG15" s="6">
        <f>CSO!H33</f>
        <v>0</v>
      </c>
      <c r="AH15" s="6">
        <f>CSO!I33</f>
        <v>0</v>
      </c>
      <c r="AI15" s="6">
        <f>CSO!J33</f>
        <v>0</v>
      </c>
      <c r="AJ15" s="6">
        <f>CSO!K33</f>
        <v>0</v>
      </c>
      <c r="AK15" s="6">
        <f>CSO!L33</f>
        <v>0</v>
      </c>
      <c r="AL15" s="6">
        <f>CSO!M33</f>
        <v>0</v>
      </c>
      <c r="AM15" s="6">
        <f>CSO!N33</f>
        <v>0</v>
      </c>
      <c r="AN15" s="6">
        <f>CSO!O33</f>
        <v>0</v>
      </c>
      <c r="AO15" s="6">
        <f>CSO!P33</f>
        <v>0</v>
      </c>
      <c r="AP15"/>
    </row>
    <row r="16" spans="1:42" s="121" customFormat="1" collapsed="1" x14ac:dyDescent="0.25">
      <c r="B16" s="259" t="s">
        <v>208</v>
      </c>
      <c r="C16" s="16"/>
      <c r="D16" s="260">
        <f t="shared" si="13"/>
        <v>11137.5</v>
      </c>
      <c r="E16" s="260">
        <f t="shared" si="2"/>
        <v>15236.1</v>
      </c>
      <c r="F16" s="260">
        <f t="shared" si="3"/>
        <v>17820</v>
      </c>
      <c r="G16" s="260">
        <f t="shared" si="4"/>
        <v>19067.399999999998</v>
      </c>
      <c r="H16" s="260">
        <f t="shared" si="5"/>
        <v>19958.399999999998</v>
      </c>
      <c r="I16" s="260">
        <f t="shared" si="6"/>
        <v>20671.2</v>
      </c>
      <c r="J16" s="260">
        <f t="shared" si="7"/>
        <v>21419.64</v>
      </c>
      <c r="K16" s="260">
        <f t="shared" si="8"/>
        <v>22168.080000000002</v>
      </c>
      <c r="L16" s="260">
        <f t="shared" si="9"/>
        <v>23005.62</v>
      </c>
      <c r="M16" s="260">
        <f t="shared" si="10"/>
        <v>23843.159999999996</v>
      </c>
      <c r="N16" s="260">
        <f t="shared" si="11"/>
        <v>24716.339999999997</v>
      </c>
      <c r="O16" s="260">
        <f t="shared" si="12"/>
        <v>25625.159999999996</v>
      </c>
      <c r="P16" s="16"/>
      <c r="Q16" s="292">
        <f>'School Rollup'!D16</f>
        <v>1237.5</v>
      </c>
      <c r="R16" s="292">
        <f>'School Rollup'!E16</f>
        <v>2041.2</v>
      </c>
      <c r="S16" s="292">
        <f>'School Rollup'!F16</f>
        <v>2289.6</v>
      </c>
      <c r="T16" s="292">
        <f>'School Rollup'!G16</f>
        <v>2313.36</v>
      </c>
      <c r="U16" s="292">
        <f>'School Rollup'!H16</f>
        <v>2423.5200000000004</v>
      </c>
      <c r="V16" s="292">
        <f>'School Rollup'!I16</f>
        <v>2552.04</v>
      </c>
      <c r="W16" s="292">
        <f>'School Rollup'!J16</f>
        <v>2680.5600000000004</v>
      </c>
      <c r="X16" s="292">
        <f>'School Rollup'!K16</f>
        <v>2809.08</v>
      </c>
      <c r="Y16" s="292">
        <f>'School Rollup'!L16</f>
        <v>2955.96</v>
      </c>
      <c r="Z16" s="292">
        <f>'School Rollup'!M16</f>
        <v>3102.84</v>
      </c>
      <c r="AA16" s="292">
        <f>'School Rollup'!N16</f>
        <v>3249.72</v>
      </c>
      <c r="AB16" s="292">
        <f>'School Rollup'!O16</f>
        <v>3414.96</v>
      </c>
      <c r="AC16" s="30"/>
      <c r="AD16" s="261">
        <f>CSO!E34</f>
        <v>9900</v>
      </c>
      <c r="AE16" s="261">
        <f>CSO!F34</f>
        <v>13194.9</v>
      </c>
      <c r="AF16" s="261">
        <f>CSO!G34</f>
        <v>15530.4</v>
      </c>
      <c r="AG16" s="261">
        <f>CSO!H34</f>
        <v>16754.039999999997</v>
      </c>
      <c r="AH16" s="261">
        <f>CSO!I34</f>
        <v>17534.879999999997</v>
      </c>
      <c r="AI16" s="261">
        <f>CSO!J34</f>
        <v>18119.16</v>
      </c>
      <c r="AJ16" s="261">
        <f>CSO!K34</f>
        <v>18739.079999999998</v>
      </c>
      <c r="AK16" s="261">
        <f>CSO!L34</f>
        <v>19359</v>
      </c>
      <c r="AL16" s="261">
        <f>CSO!M34</f>
        <v>20049.66</v>
      </c>
      <c r="AM16" s="261">
        <f>CSO!N34</f>
        <v>20740.319999999996</v>
      </c>
      <c r="AN16" s="261">
        <f>CSO!O34</f>
        <v>21466.619999999995</v>
      </c>
      <c r="AO16" s="261">
        <f>CSO!P34</f>
        <v>22210.199999999997</v>
      </c>
      <c r="AP16" s="30"/>
    </row>
    <row r="17" spans="1:42" s="6" customFormat="1" hidden="1" outlineLevel="1" x14ac:dyDescent="0.25">
      <c r="B17" s="144" t="s">
        <v>363</v>
      </c>
      <c r="C17" s="2"/>
      <c r="D17" s="154">
        <f t="shared" si="13"/>
        <v>418287.5</v>
      </c>
      <c r="E17" s="154">
        <f t="shared" si="2"/>
        <v>221138.19</v>
      </c>
      <c r="F17" s="154">
        <f t="shared" si="3"/>
        <v>252176.51452500004</v>
      </c>
      <c r="G17" s="154">
        <f t="shared" si="4"/>
        <v>261591.20641375319</v>
      </c>
      <c r="H17" s="154">
        <f t="shared" si="5"/>
        <v>276103.290007659</v>
      </c>
      <c r="I17" s="154">
        <f t="shared" si="6"/>
        <v>292925.71962801204</v>
      </c>
      <c r="J17" s="154">
        <f t="shared" si="7"/>
        <v>309984.95488260745</v>
      </c>
      <c r="K17" s="154">
        <f t="shared" si="8"/>
        <v>327283.60159429262</v>
      </c>
      <c r="L17" s="154">
        <f t="shared" si="9"/>
        <v>346979.44317389687</v>
      </c>
      <c r="M17" s="154">
        <f t="shared" si="10"/>
        <v>366952.31267460558</v>
      </c>
      <c r="N17" s="154">
        <f t="shared" si="11"/>
        <v>387205.25762414635</v>
      </c>
      <c r="O17" s="154">
        <f t="shared" si="12"/>
        <v>409945.36300834408</v>
      </c>
      <c r="P17" s="2"/>
      <c r="Q17" s="59">
        <f>'School Rollup'!D17</f>
        <v>260000</v>
      </c>
      <c r="R17" s="59">
        <f>'School Rollup'!E17</f>
        <v>0</v>
      </c>
      <c r="S17" s="59">
        <f>'School Rollup'!F17</f>
        <v>0</v>
      </c>
      <c r="T17" s="59">
        <f>'School Rollup'!G17</f>
        <v>0</v>
      </c>
      <c r="U17" s="59">
        <f>'School Rollup'!H17</f>
        <v>0</v>
      </c>
      <c r="V17" s="59">
        <f>'School Rollup'!I17</f>
        <v>0</v>
      </c>
      <c r="W17" s="59">
        <f>'School Rollup'!J17</f>
        <v>0</v>
      </c>
      <c r="X17" s="59">
        <f>'School Rollup'!K17</f>
        <v>0</v>
      </c>
      <c r="Y17" s="59">
        <f>'School Rollup'!L17</f>
        <v>0</v>
      </c>
      <c r="Z17" s="59">
        <f>'School Rollup'!M17</f>
        <v>0</v>
      </c>
      <c r="AA17" s="59">
        <f>'School Rollup'!N17</f>
        <v>0</v>
      </c>
      <c r="AB17" s="59">
        <f>'School Rollup'!O17</f>
        <v>0</v>
      </c>
      <c r="AC17"/>
      <c r="AD17" s="6">
        <f>CSO!E35</f>
        <v>158287.5</v>
      </c>
      <c r="AE17" s="6">
        <f>CSO!F35</f>
        <v>221138.19</v>
      </c>
      <c r="AF17" s="6">
        <f>CSO!G35</f>
        <v>252176.51452500004</v>
      </c>
      <c r="AG17" s="6">
        <f>CSO!H35</f>
        <v>261591.20641375319</v>
      </c>
      <c r="AH17" s="6">
        <f>CSO!I35</f>
        <v>276103.290007659</v>
      </c>
      <c r="AI17" s="6">
        <f>CSO!J35</f>
        <v>292925.71962801204</v>
      </c>
      <c r="AJ17" s="6">
        <f>CSO!K35</f>
        <v>309984.95488260745</v>
      </c>
      <c r="AK17" s="6">
        <f>CSO!L35</f>
        <v>327283.60159429262</v>
      </c>
      <c r="AL17" s="6">
        <f>CSO!M35</f>
        <v>346979.44317389687</v>
      </c>
      <c r="AM17" s="6">
        <f>CSO!N35</f>
        <v>366952.31267460558</v>
      </c>
      <c r="AN17" s="6">
        <f>CSO!O35</f>
        <v>387205.25762414635</v>
      </c>
      <c r="AO17" s="6">
        <f>CSO!P35</f>
        <v>409945.36300834408</v>
      </c>
      <c r="AP17"/>
    </row>
    <row r="18" spans="1:42" s="6" customFormat="1" hidden="1" outlineLevel="1" x14ac:dyDescent="0.25">
      <c r="B18" s="144" t="s">
        <v>364</v>
      </c>
      <c r="C18" s="2"/>
      <c r="D18" s="154">
        <f t="shared" si="13"/>
        <v>0</v>
      </c>
      <c r="E18" s="154">
        <f t="shared" si="2"/>
        <v>0</v>
      </c>
      <c r="F18" s="154">
        <f t="shared" si="3"/>
        <v>0</v>
      </c>
      <c r="G18" s="154">
        <f t="shared" si="4"/>
        <v>0</v>
      </c>
      <c r="H18" s="154">
        <f t="shared" si="5"/>
        <v>0</v>
      </c>
      <c r="I18" s="154">
        <f t="shared" si="6"/>
        <v>0</v>
      </c>
      <c r="J18" s="154">
        <f t="shared" si="7"/>
        <v>0</v>
      </c>
      <c r="K18" s="154">
        <f t="shared" si="8"/>
        <v>0</v>
      </c>
      <c r="L18" s="154">
        <f t="shared" si="9"/>
        <v>0</v>
      </c>
      <c r="M18" s="154">
        <f t="shared" si="10"/>
        <v>0</v>
      </c>
      <c r="N18" s="154">
        <f t="shared" si="11"/>
        <v>0</v>
      </c>
      <c r="O18" s="154">
        <f t="shared" si="12"/>
        <v>0</v>
      </c>
      <c r="P18" s="2"/>
      <c r="Q18" s="59">
        <f>'School Rollup'!D18</f>
        <v>0</v>
      </c>
      <c r="R18" s="59">
        <f>'School Rollup'!E18</f>
        <v>0</v>
      </c>
      <c r="S18" s="59">
        <f>'School Rollup'!F18</f>
        <v>0</v>
      </c>
      <c r="T18" s="59">
        <f>'School Rollup'!G18</f>
        <v>0</v>
      </c>
      <c r="U18" s="59">
        <f>'School Rollup'!H18</f>
        <v>0</v>
      </c>
      <c r="V18" s="59">
        <f>'School Rollup'!I18</f>
        <v>0</v>
      </c>
      <c r="W18" s="59">
        <f>'School Rollup'!J18</f>
        <v>0</v>
      </c>
      <c r="X18" s="59">
        <f>'School Rollup'!K18</f>
        <v>0</v>
      </c>
      <c r="Y18" s="59">
        <f>'School Rollup'!L18</f>
        <v>0</v>
      </c>
      <c r="Z18" s="59">
        <f>'School Rollup'!M18</f>
        <v>0</v>
      </c>
      <c r="AA18" s="59">
        <f>'School Rollup'!N18</f>
        <v>0</v>
      </c>
      <c r="AB18" s="59">
        <f>'School Rollup'!O18</f>
        <v>0</v>
      </c>
      <c r="AC18"/>
      <c r="AD18" s="6">
        <f>CSO!E36</f>
        <v>0</v>
      </c>
      <c r="AE18" s="6">
        <f>CSO!F36</f>
        <v>0</v>
      </c>
      <c r="AF18" s="6">
        <f>CSO!G36</f>
        <v>0</v>
      </c>
      <c r="AG18" s="6">
        <f>CSO!H36</f>
        <v>0</v>
      </c>
      <c r="AH18" s="6">
        <f>CSO!I36</f>
        <v>0</v>
      </c>
      <c r="AI18" s="6">
        <f>CSO!J36</f>
        <v>0</v>
      </c>
      <c r="AJ18" s="6">
        <f>CSO!K36</f>
        <v>0</v>
      </c>
      <c r="AK18" s="6">
        <f>CSO!L36</f>
        <v>0</v>
      </c>
      <c r="AL18" s="6">
        <f>CSO!M36</f>
        <v>0</v>
      </c>
      <c r="AM18" s="6">
        <f>CSO!N36</f>
        <v>0</v>
      </c>
      <c r="AN18" s="6">
        <f>CSO!O36</f>
        <v>0</v>
      </c>
      <c r="AO18" s="6">
        <f>CSO!P36</f>
        <v>0</v>
      </c>
      <c r="AP18"/>
    </row>
    <row r="19" spans="1:42" s="6" customFormat="1" hidden="1" outlineLevel="1" x14ac:dyDescent="0.25">
      <c r="B19" s="144" t="s">
        <v>365</v>
      </c>
      <c r="C19" s="2"/>
      <c r="D19" s="154">
        <f t="shared" si="13"/>
        <v>0</v>
      </c>
      <c r="E19" s="154">
        <f t="shared" si="2"/>
        <v>0</v>
      </c>
      <c r="F19" s="154">
        <f t="shared" si="3"/>
        <v>0</v>
      </c>
      <c r="G19" s="154">
        <f t="shared" si="4"/>
        <v>0</v>
      </c>
      <c r="H19" s="154">
        <f t="shared" si="5"/>
        <v>0</v>
      </c>
      <c r="I19" s="154">
        <f t="shared" si="6"/>
        <v>0</v>
      </c>
      <c r="J19" s="154">
        <f t="shared" si="7"/>
        <v>0</v>
      </c>
      <c r="K19" s="154">
        <f t="shared" si="8"/>
        <v>0</v>
      </c>
      <c r="L19" s="154">
        <f t="shared" si="9"/>
        <v>0</v>
      </c>
      <c r="M19" s="154">
        <f t="shared" si="10"/>
        <v>0</v>
      </c>
      <c r="N19" s="154">
        <f t="shared" si="11"/>
        <v>0</v>
      </c>
      <c r="O19" s="154">
        <f t="shared" si="12"/>
        <v>0</v>
      </c>
      <c r="P19" s="2"/>
      <c r="Q19" s="59">
        <f>'School Rollup'!D19</f>
        <v>0</v>
      </c>
      <c r="R19" s="59">
        <f>'School Rollup'!E19</f>
        <v>0</v>
      </c>
      <c r="S19" s="59">
        <f>'School Rollup'!F19</f>
        <v>0</v>
      </c>
      <c r="T19" s="59">
        <f>'School Rollup'!G19</f>
        <v>0</v>
      </c>
      <c r="U19" s="59">
        <f>'School Rollup'!H19</f>
        <v>0</v>
      </c>
      <c r="V19" s="59">
        <f>'School Rollup'!I19</f>
        <v>0</v>
      </c>
      <c r="W19" s="59">
        <f>'School Rollup'!J19</f>
        <v>0</v>
      </c>
      <c r="X19" s="59">
        <f>'School Rollup'!K19</f>
        <v>0</v>
      </c>
      <c r="Y19" s="59">
        <f>'School Rollup'!L19</f>
        <v>0</v>
      </c>
      <c r="Z19" s="59">
        <f>'School Rollup'!M19</f>
        <v>0</v>
      </c>
      <c r="AA19" s="59">
        <f>'School Rollup'!N19</f>
        <v>0</v>
      </c>
      <c r="AB19" s="59">
        <f>'School Rollup'!O19</f>
        <v>0</v>
      </c>
      <c r="AC19"/>
      <c r="AD19" s="6">
        <f>CSO!E37</f>
        <v>0</v>
      </c>
      <c r="AE19" s="6">
        <f>CSO!F37</f>
        <v>0</v>
      </c>
      <c r="AF19" s="6">
        <f>CSO!G37</f>
        <v>0</v>
      </c>
      <c r="AG19" s="6">
        <f>CSO!H37</f>
        <v>0</v>
      </c>
      <c r="AH19" s="6">
        <f>CSO!I37</f>
        <v>0</v>
      </c>
      <c r="AI19" s="6">
        <f>CSO!J37</f>
        <v>0</v>
      </c>
      <c r="AJ19" s="6">
        <f>CSO!K37</f>
        <v>0</v>
      </c>
      <c r="AK19" s="6">
        <f>CSO!L37</f>
        <v>0</v>
      </c>
      <c r="AL19" s="6">
        <f>CSO!M37</f>
        <v>0</v>
      </c>
      <c r="AM19" s="6">
        <f>CSO!N37</f>
        <v>0</v>
      </c>
      <c r="AN19" s="6">
        <f>CSO!O37</f>
        <v>0</v>
      </c>
      <c r="AO19" s="6">
        <f>CSO!P37</f>
        <v>0</v>
      </c>
      <c r="AP19"/>
    </row>
    <row r="20" spans="1:42" s="262" customFormat="1" collapsed="1" x14ac:dyDescent="0.25">
      <c r="B20" s="263" t="s">
        <v>577</v>
      </c>
      <c r="C20" s="264"/>
      <c r="D20" s="265">
        <f t="shared" si="13"/>
        <v>418287.5</v>
      </c>
      <c r="E20" s="265">
        <f t="shared" si="2"/>
        <v>221138.19</v>
      </c>
      <c r="F20" s="265">
        <f t="shared" si="3"/>
        <v>252176.51452500004</v>
      </c>
      <c r="G20" s="265">
        <f t="shared" si="4"/>
        <v>261591.20641375319</v>
      </c>
      <c r="H20" s="265">
        <f t="shared" si="5"/>
        <v>276103.290007659</v>
      </c>
      <c r="I20" s="265">
        <f t="shared" si="6"/>
        <v>292925.71962801204</v>
      </c>
      <c r="J20" s="265">
        <f t="shared" si="7"/>
        <v>309984.95488260745</v>
      </c>
      <c r="K20" s="265">
        <f t="shared" si="8"/>
        <v>327283.60159429262</v>
      </c>
      <c r="L20" s="265">
        <f t="shared" si="9"/>
        <v>346979.44317389687</v>
      </c>
      <c r="M20" s="265">
        <f t="shared" si="10"/>
        <v>366952.31267460558</v>
      </c>
      <c r="N20" s="265">
        <f t="shared" si="11"/>
        <v>387205.25762414635</v>
      </c>
      <c r="O20" s="265">
        <f t="shared" si="12"/>
        <v>409945.36300834408</v>
      </c>
      <c r="P20" s="264"/>
      <c r="Q20" s="266">
        <f>'School Rollup'!D20</f>
        <v>260000</v>
      </c>
      <c r="R20" s="266">
        <f>'School Rollup'!E20</f>
        <v>0</v>
      </c>
      <c r="S20" s="266">
        <f>'School Rollup'!F20</f>
        <v>0</v>
      </c>
      <c r="T20" s="266">
        <f>'School Rollup'!G20</f>
        <v>0</v>
      </c>
      <c r="U20" s="266">
        <f>'School Rollup'!H20</f>
        <v>0</v>
      </c>
      <c r="V20" s="266">
        <f>'School Rollup'!I20</f>
        <v>0</v>
      </c>
      <c r="W20" s="266">
        <f>'School Rollup'!J20</f>
        <v>0</v>
      </c>
      <c r="X20" s="266">
        <f>'School Rollup'!K20</f>
        <v>0</v>
      </c>
      <c r="Y20" s="266">
        <f>'School Rollup'!L20</f>
        <v>0</v>
      </c>
      <c r="Z20" s="266">
        <f>'School Rollup'!M20</f>
        <v>0</v>
      </c>
      <c r="AA20" s="266">
        <f>'School Rollup'!N20</f>
        <v>0</v>
      </c>
      <c r="AB20" s="266">
        <f>'School Rollup'!O20</f>
        <v>0</v>
      </c>
      <c r="AC20" s="267"/>
      <c r="AD20" s="268">
        <f>CSO!E38</f>
        <v>158287.5</v>
      </c>
      <c r="AE20" s="268">
        <f>CSO!F38</f>
        <v>221138.19</v>
      </c>
      <c r="AF20" s="268">
        <f>CSO!G38</f>
        <v>252176.51452500004</v>
      </c>
      <c r="AG20" s="268">
        <f>CSO!H38</f>
        <v>261591.20641375319</v>
      </c>
      <c r="AH20" s="268">
        <f>CSO!I38</f>
        <v>276103.290007659</v>
      </c>
      <c r="AI20" s="268">
        <f>CSO!J38</f>
        <v>292925.71962801204</v>
      </c>
      <c r="AJ20" s="268">
        <f>CSO!K38</f>
        <v>309984.95488260745</v>
      </c>
      <c r="AK20" s="268">
        <f>CSO!L38</f>
        <v>327283.60159429262</v>
      </c>
      <c r="AL20" s="268">
        <f>CSO!M38</f>
        <v>346979.44317389687</v>
      </c>
      <c r="AM20" s="268">
        <f>CSO!N38</f>
        <v>366952.31267460558</v>
      </c>
      <c r="AN20" s="268">
        <f>CSO!O38</f>
        <v>387205.25762414635</v>
      </c>
      <c r="AO20" s="268">
        <f>CSO!P38</f>
        <v>409945.36300834408</v>
      </c>
      <c r="AP20" s="267"/>
    </row>
    <row r="21" spans="1:42" s="262" customFormat="1" x14ac:dyDescent="0.25">
      <c r="A21" s="262" t="s">
        <v>210</v>
      </c>
      <c r="B21" s="263"/>
      <c r="C21" s="264"/>
      <c r="D21" s="291">
        <f>D20+D16+D11+D6</f>
        <v>5627412.5</v>
      </c>
      <c r="E21" s="291">
        <f t="shared" ref="E21:O21" si="14">E20+E16+E11+E6</f>
        <v>6191733.9524999997</v>
      </c>
      <c r="F21" s="291">
        <f t="shared" si="14"/>
        <v>7288471.6285250019</v>
      </c>
      <c r="G21" s="291">
        <f t="shared" si="14"/>
        <v>7805680.8577018948</v>
      </c>
      <c r="H21" s="291">
        <f t="shared" si="14"/>
        <v>8223172.327053912</v>
      </c>
      <c r="I21" s="291">
        <f t="shared" si="14"/>
        <v>8563038.6007544771</v>
      </c>
      <c r="J21" s="291">
        <f t="shared" si="14"/>
        <v>8942822.2788126245</v>
      </c>
      <c r="K21" s="291">
        <f t="shared" si="14"/>
        <v>9327774.2630803473</v>
      </c>
      <c r="L21" s="291">
        <f t="shared" si="14"/>
        <v>9756508.1528444961</v>
      </c>
      <c r="M21" s="291">
        <f t="shared" si="14"/>
        <v>10191096.338621812</v>
      </c>
      <c r="N21" s="291">
        <f t="shared" si="14"/>
        <v>10646337.219907342</v>
      </c>
      <c r="O21" s="291">
        <f t="shared" si="14"/>
        <v>11124936.600131949</v>
      </c>
      <c r="P21" s="264"/>
      <c r="Q21" s="291">
        <f>'School Rollup'!D21</f>
        <v>4014908.75</v>
      </c>
      <c r="R21" s="291">
        <f>'School Rollup'!E21</f>
        <v>4351290.4837500006</v>
      </c>
      <c r="S21" s="291">
        <f>'School Rollup'!F21</f>
        <v>5121478.2943250006</v>
      </c>
      <c r="T21" s="291">
        <f>'School Rollup'!G21</f>
        <v>5482510.7223154521</v>
      </c>
      <c r="U21" s="291">
        <f>'School Rollup'!H21</f>
        <v>5776688.0959400367</v>
      </c>
      <c r="V21" s="291">
        <f>'School Rollup'!I21</f>
        <v>6017825.1364165368</v>
      </c>
      <c r="W21" s="291">
        <f>'School Rollup'!J21</f>
        <v>6286870.0656336192</v>
      </c>
      <c r="X21" s="291">
        <f>'School Rollup'!K21</f>
        <v>6559604.6326345298</v>
      </c>
      <c r="Y21" s="291">
        <f>'School Rollup'!L21</f>
        <v>6863519.8719433164</v>
      </c>
      <c r="Z21" s="291">
        <f>'School Rollup'!M21</f>
        <v>7171616.2268376499</v>
      </c>
      <c r="AA21" s="291">
        <f>'School Rollup'!N21</f>
        <v>7494148.1552223833</v>
      </c>
      <c r="AB21" s="291">
        <f>'School Rollup'!O21</f>
        <v>7833749.3649948668</v>
      </c>
      <c r="AC21" s="267"/>
      <c r="AD21" s="291">
        <f>CSO!E39</f>
        <v>1612503.75</v>
      </c>
      <c r="AE21" s="291">
        <f>CSO!F39</f>
        <v>1840443.4687500002</v>
      </c>
      <c r="AF21" s="291">
        <f>CSO!G39</f>
        <v>2166993.3342000009</v>
      </c>
      <c r="AG21" s="291">
        <f>CSO!H39</f>
        <v>2323170.1353864428</v>
      </c>
      <c r="AH21" s="291">
        <f>CSO!I39</f>
        <v>2446484.2311138762</v>
      </c>
      <c r="AI21" s="291">
        <f>CSO!J39</f>
        <v>2545213.4643379403</v>
      </c>
      <c r="AJ21" s="291">
        <f>CSO!K39</f>
        <v>2655952.2131790048</v>
      </c>
      <c r="AK21" s="291">
        <f>CSO!L39</f>
        <v>2768169.6304458166</v>
      </c>
      <c r="AL21" s="291">
        <f>CSO!M39</f>
        <v>2892988.2809011801</v>
      </c>
      <c r="AM21" s="291">
        <f>CSO!N39</f>
        <v>3019480.1117841615</v>
      </c>
      <c r="AN21" s="291">
        <f>CSO!O39</f>
        <v>3152189.0646849582</v>
      </c>
      <c r="AO21" s="291">
        <f>CSO!P39</f>
        <v>3291187.2351370817</v>
      </c>
      <c r="AP21" s="267"/>
    </row>
    <row r="22" spans="1:42" s="6" customFormat="1" x14ac:dyDescent="0.25">
      <c r="B22" s="14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AC22"/>
      <c r="AP22"/>
    </row>
    <row r="23" spans="1:42" s="6" customFormat="1" hidden="1" outlineLevel="2" x14ac:dyDescent="0.25">
      <c r="A23" s="18" t="s">
        <v>401</v>
      </c>
      <c r="B23" s="144" t="s">
        <v>372</v>
      </c>
      <c r="C23" s="2"/>
      <c r="D23" s="154">
        <f t="shared" ref="D23:D35" si="15">Q23+AD23</f>
        <v>68689.62</v>
      </c>
      <c r="E23" s="154">
        <f t="shared" ref="E23:E86" si="16">R23+AE23</f>
        <v>70063.412400000001</v>
      </c>
      <c r="F23" s="154">
        <f t="shared" ref="F23:F86" si="17">S23+AF23</f>
        <v>104179.25700000001</v>
      </c>
      <c r="G23" s="154">
        <f t="shared" ref="G23:G86" si="18">T23+AG23</f>
        <v>106182.70425000001</v>
      </c>
      <c r="H23" s="154">
        <f t="shared" ref="H23:H86" si="19">U23+AH23</f>
        <v>108186.15150000001</v>
      </c>
      <c r="I23" s="154">
        <f t="shared" ref="I23:I86" si="20">V23+AI23</f>
        <v>110189.59875</v>
      </c>
      <c r="J23" s="154">
        <f t="shared" ref="J23:J86" si="21">W23+AJ23</f>
        <v>112193.046</v>
      </c>
      <c r="K23" s="154">
        <f t="shared" ref="K23:K86" si="22">X23+AK23</f>
        <v>150086.81970000005</v>
      </c>
      <c r="L23" s="154">
        <f t="shared" ref="L23:L86" si="23">Y23+AL23</f>
        <v>189239.9031</v>
      </c>
      <c r="M23" s="154">
        <f t="shared" ref="M23:M86" si="24">Z23+AM23</f>
        <v>229652.29619999998</v>
      </c>
      <c r="N23" s="154">
        <f t="shared" ref="N23:N86" si="25">AA23+AN23</f>
        <v>233544.70800000004</v>
      </c>
      <c r="O23" s="154">
        <f t="shared" ref="O23:O86" si="26">AB23+AO23</f>
        <v>237437.11980000001</v>
      </c>
      <c r="P23" s="2"/>
      <c r="Q23" s="6">
        <f>'School Rollup'!D23</f>
        <v>68689.62</v>
      </c>
      <c r="R23" s="6">
        <f>'School Rollup'!E23</f>
        <v>70063.412400000001</v>
      </c>
      <c r="S23" s="6">
        <f>'School Rollup'!F23</f>
        <v>104179.25700000001</v>
      </c>
      <c r="T23" s="6">
        <f>'School Rollup'!G23</f>
        <v>106182.70425000001</v>
      </c>
      <c r="U23" s="6">
        <f>'School Rollup'!H23</f>
        <v>108186.15150000001</v>
      </c>
      <c r="V23" s="6">
        <f>'School Rollup'!I23</f>
        <v>110189.59875</v>
      </c>
      <c r="W23" s="6">
        <f>'School Rollup'!J23</f>
        <v>112193.046</v>
      </c>
      <c r="X23" s="6">
        <f>'School Rollup'!K23</f>
        <v>150086.81970000005</v>
      </c>
      <c r="Y23" s="6">
        <f>'School Rollup'!L23</f>
        <v>189239.9031</v>
      </c>
      <c r="Z23" s="6">
        <f>'School Rollup'!M23</f>
        <v>229652.29619999998</v>
      </c>
      <c r="AA23" s="6">
        <f>'School Rollup'!N23</f>
        <v>233544.70800000004</v>
      </c>
      <c r="AB23" s="6">
        <f>'School Rollup'!O23</f>
        <v>237437.11980000001</v>
      </c>
      <c r="AC23"/>
      <c r="AD23" s="6">
        <f>CSO!E42</f>
        <v>0</v>
      </c>
      <c r="AE23" s="6">
        <f>CSO!F42</f>
        <v>0</v>
      </c>
      <c r="AF23" s="6">
        <f>CSO!G42</f>
        <v>0</v>
      </c>
      <c r="AG23" s="6">
        <f>CSO!H42</f>
        <v>0</v>
      </c>
      <c r="AH23" s="6">
        <f>CSO!I42</f>
        <v>0</v>
      </c>
      <c r="AI23" s="6">
        <f>CSO!J42</f>
        <v>0</v>
      </c>
      <c r="AJ23" s="6">
        <f>CSO!K42</f>
        <v>0</v>
      </c>
      <c r="AK23" s="6">
        <f>CSO!L42</f>
        <v>0</v>
      </c>
      <c r="AL23" s="6">
        <f>CSO!M42</f>
        <v>0</v>
      </c>
      <c r="AM23" s="6">
        <f>CSO!N42</f>
        <v>0</v>
      </c>
      <c r="AN23" s="6">
        <f>CSO!O42</f>
        <v>0</v>
      </c>
      <c r="AO23" s="6">
        <f>CSO!P42</f>
        <v>0</v>
      </c>
      <c r="AP23"/>
    </row>
    <row r="24" spans="1:42" s="6" customFormat="1" hidden="1" outlineLevel="2" x14ac:dyDescent="0.25">
      <c r="A24" s="18" t="s">
        <v>402</v>
      </c>
      <c r="B24" s="144" t="s">
        <v>372</v>
      </c>
      <c r="C24" s="2"/>
      <c r="D24" s="154">
        <f t="shared" si="15"/>
        <v>54378.5</v>
      </c>
      <c r="E24" s="154">
        <f t="shared" si="16"/>
        <v>55466.07</v>
      </c>
      <c r="F24" s="154">
        <f t="shared" si="17"/>
        <v>56553.64</v>
      </c>
      <c r="G24" s="154">
        <f t="shared" si="18"/>
        <v>57641.21</v>
      </c>
      <c r="H24" s="154">
        <f t="shared" si="19"/>
        <v>58728.780000000006</v>
      </c>
      <c r="I24" s="154">
        <f t="shared" si="20"/>
        <v>59816.350000000006</v>
      </c>
      <c r="J24" s="154">
        <f t="shared" si="21"/>
        <v>60903.920000000006</v>
      </c>
      <c r="K24" s="154">
        <f t="shared" si="22"/>
        <v>61991.490000000005</v>
      </c>
      <c r="L24" s="154">
        <f t="shared" si="23"/>
        <v>63079.06</v>
      </c>
      <c r="M24" s="154">
        <f t="shared" si="24"/>
        <v>64166.630000000005</v>
      </c>
      <c r="N24" s="154">
        <f t="shared" si="25"/>
        <v>65254.200000000004</v>
      </c>
      <c r="O24" s="154">
        <f t="shared" si="26"/>
        <v>66341.77</v>
      </c>
      <c r="P24" s="2"/>
      <c r="Q24" s="6">
        <f>'School Rollup'!D24</f>
        <v>54378.5</v>
      </c>
      <c r="R24" s="6">
        <f>'School Rollup'!E24</f>
        <v>55466.07</v>
      </c>
      <c r="S24" s="6">
        <f>'School Rollup'!F24</f>
        <v>56553.64</v>
      </c>
      <c r="T24" s="6">
        <f>'School Rollup'!G24</f>
        <v>57641.21</v>
      </c>
      <c r="U24" s="6">
        <f>'School Rollup'!H24</f>
        <v>58728.780000000006</v>
      </c>
      <c r="V24" s="6">
        <f>'School Rollup'!I24</f>
        <v>59816.350000000006</v>
      </c>
      <c r="W24" s="6">
        <f>'School Rollup'!J24</f>
        <v>60903.920000000006</v>
      </c>
      <c r="X24" s="6">
        <f>'School Rollup'!K24</f>
        <v>61991.490000000005</v>
      </c>
      <c r="Y24" s="6">
        <f>'School Rollup'!L24</f>
        <v>63079.06</v>
      </c>
      <c r="Z24" s="6">
        <f>'School Rollup'!M24</f>
        <v>64166.630000000005</v>
      </c>
      <c r="AA24" s="6">
        <f>'School Rollup'!N24</f>
        <v>65254.200000000004</v>
      </c>
      <c r="AB24" s="6">
        <f>'School Rollup'!O24</f>
        <v>66341.77</v>
      </c>
      <c r="AC24"/>
      <c r="AD24" s="6">
        <f>CSO!E43</f>
        <v>0</v>
      </c>
      <c r="AE24" s="6">
        <f>CSO!F43</f>
        <v>0</v>
      </c>
      <c r="AF24" s="6">
        <f>CSO!G43</f>
        <v>0</v>
      </c>
      <c r="AG24" s="6">
        <f>CSO!H43</f>
        <v>0</v>
      </c>
      <c r="AH24" s="6">
        <f>CSO!I43</f>
        <v>0</v>
      </c>
      <c r="AI24" s="6">
        <f>CSO!J43</f>
        <v>0</v>
      </c>
      <c r="AJ24" s="6">
        <f>CSO!K43</f>
        <v>0</v>
      </c>
      <c r="AK24" s="6">
        <f>CSO!L43</f>
        <v>0</v>
      </c>
      <c r="AL24" s="6">
        <f>CSO!M43</f>
        <v>0</v>
      </c>
      <c r="AM24" s="6">
        <f>CSO!N43</f>
        <v>0</v>
      </c>
      <c r="AN24" s="6">
        <f>CSO!O43</f>
        <v>0</v>
      </c>
      <c r="AO24" s="6">
        <f>CSO!P43</f>
        <v>0</v>
      </c>
      <c r="AP24"/>
    </row>
    <row r="25" spans="1:42" s="6" customFormat="1" hidden="1" outlineLevel="1" x14ac:dyDescent="0.25">
      <c r="A25" s="18">
        <v>6111</v>
      </c>
      <c r="B25" s="144" t="s">
        <v>405</v>
      </c>
      <c r="C25" s="2"/>
      <c r="D25" s="154">
        <f t="shared" si="15"/>
        <v>123068.12</v>
      </c>
      <c r="E25" s="154">
        <f t="shared" si="16"/>
        <v>125529.48240000001</v>
      </c>
      <c r="F25" s="154">
        <f t="shared" si="17"/>
        <v>160732.897</v>
      </c>
      <c r="G25" s="154">
        <f t="shared" si="18"/>
        <v>163823.91425</v>
      </c>
      <c r="H25" s="154">
        <f t="shared" si="19"/>
        <v>166914.93150000001</v>
      </c>
      <c r="I25" s="154">
        <f t="shared" si="20"/>
        <v>170005.94875000004</v>
      </c>
      <c r="J25" s="154">
        <f t="shared" si="21"/>
        <v>173096.96600000001</v>
      </c>
      <c r="K25" s="154">
        <f t="shared" si="22"/>
        <v>212078.30970000004</v>
      </c>
      <c r="L25" s="154">
        <f t="shared" si="23"/>
        <v>252318.96309999994</v>
      </c>
      <c r="M25" s="154">
        <f t="shared" si="24"/>
        <v>293818.92620000005</v>
      </c>
      <c r="N25" s="154">
        <f t="shared" si="25"/>
        <v>298798.908</v>
      </c>
      <c r="O25" s="154">
        <f t="shared" si="26"/>
        <v>303778.8898</v>
      </c>
      <c r="P25" s="2"/>
      <c r="Q25" s="6">
        <f>'School Rollup'!D25</f>
        <v>123068.12</v>
      </c>
      <c r="R25" s="6">
        <f>'School Rollup'!E25</f>
        <v>125529.48240000001</v>
      </c>
      <c r="S25" s="6">
        <f>'School Rollup'!F25</f>
        <v>160732.897</v>
      </c>
      <c r="T25" s="6">
        <f>'School Rollup'!G25</f>
        <v>163823.91425</v>
      </c>
      <c r="U25" s="6">
        <f>'School Rollup'!H25</f>
        <v>166914.93150000001</v>
      </c>
      <c r="V25" s="6">
        <f>'School Rollup'!I25</f>
        <v>170005.94875000004</v>
      </c>
      <c r="W25" s="6">
        <f>'School Rollup'!J25</f>
        <v>173096.96600000001</v>
      </c>
      <c r="X25" s="6">
        <f>'School Rollup'!K25</f>
        <v>212078.30970000004</v>
      </c>
      <c r="Y25" s="6">
        <f>'School Rollup'!L25</f>
        <v>252318.96309999994</v>
      </c>
      <c r="Z25" s="6">
        <f>'School Rollup'!M25</f>
        <v>293818.92620000005</v>
      </c>
      <c r="AA25" s="6">
        <f>'School Rollup'!N25</f>
        <v>298798.908</v>
      </c>
      <c r="AB25" s="6">
        <f>'School Rollup'!O25</f>
        <v>303778.8898</v>
      </c>
      <c r="AC25"/>
      <c r="AD25" s="6">
        <f>CSO!E44</f>
        <v>0</v>
      </c>
      <c r="AE25" s="6">
        <f>CSO!F44</f>
        <v>0</v>
      </c>
      <c r="AF25" s="6">
        <f>CSO!G44</f>
        <v>0</v>
      </c>
      <c r="AG25" s="6">
        <f>CSO!H44</f>
        <v>0</v>
      </c>
      <c r="AH25" s="6">
        <f>CSO!I44</f>
        <v>0</v>
      </c>
      <c r="AI25" s="6">
        <f>CSO!J44</f>
        <v>0</v>
      </c>
      <c r="AJ25" s="6">
        <f>CSO!K44</f>
        <v>0</v>
      </c>
      <c r="AK25" s="6">
        <f>CSO!L44</f>
        <v>0</v>
      </c>
      <c r="AL25" s="6">
        <f>CSO!M44</f>
        <v>0</v>
      </c>
      <c r="AM25" s="6">
        <f>CSO!N44</f>
        <v>0</v>
      </c>
      <c r="AN25" s="6">
        <f>CSO!O44</f>
        <v>0</v>
      </c>
      <c r="AO25" s="6">
        <f>CSO!P44</f>
        <v>0</v>
      </c>
      <c r="AP25"/>
    </row>
    <row r="26" spans="1:42" s="6" customFormat="1" hidden="1" outlineLevel="2" x14ac:dyDescent="0.25">
      <c r="A26" s="18" t="s">
        <v>403</v>
      </c>
      <c r="B26" s="144" t="s">
        <v>382</v>
      </c>
      <c r="C26" s="2"/>
      <c r="D26" s="154">
        <f t="shared" si="15"/>
        <v>0</v>
      </c>
      <c r="E26" s="154">
        <f t="shared" si="16"/>
        <v>0</v>
      </c>
      <c r="F26" s="154">
        <f t="shared" si="17"/>
        <v>0</v>
      </c>
      <c r="G26" s="154">
        <f t="shared" si="18"/>
        <v>0</v>
      </c>
      <c r="H26" s="154">
        <f t="shared" si="19"/>
        <v>0</v>
      </c>
      <c r="I26" s="154">
        <f t="shared" si="20"/>
        <v>0</v>
      </c>
      <c r="J26" s="154">
        <f t="shared" si="21"/>
        <v>0</v>
      </c>
      <c r="K26" s="154">
        <f t="shared" si="22"/>
        <v>0</v>
      </c>
      <c r="L26" s="154">
        <f t="shared" si="23"/>
        <v>0</v>
      </c>
      <c r="M26" s="154">
        <f t="shared" si="24"/>
        <v>0</v>
      </c>
      <c r="N26" s="154">
        <f t="shared" si="25"/>
        <v>0</v>
      </c>
      <c r="O26" s="154">
        <f t="shared" si="26"/>
        <v>0</v>
      </c>
      <c r="P26" s="2"/>
      <c r="Q26" s="6">
        <f>'School Rollup'!D26</f>
        <v>0</v>
      </c>
      <c r="R26" s="6">
        <f>'School Rollup'!E26</f>
        <v>0</v>
      </c>
      <c r="S26" s="6">
        <f>'School Rollup'!F26</f>
        <v>0</v>
      </c>
      <c r="T26" s="6">
        <f>'School Rollup'!G26</f>
        <v>0</v>
      </c>
      <c r="U26" s="6">
        <f>'School Rollup'!H26</f>
        <v>0</v>
      </c>
      <c r="V26" s="6">
        <f>'School Rollup'!I26</f>
        <v>0</v>
      </c>
      <c r="W26" s="6">
        <f>'School Rollup'!J26</f>
        <v>0</v>
      </c>
      <c r="X26" s="6">
        <f>'School Rollup'!K26</f>
        <v>0</v>
      </c>
      <c r="Y26" s="6">
        <f>'School Rollup'!L26</f>
        <v>0</v>
      </c>
      <c r="Z26" s="6">
        <f>'School Rollup'!M26</f>
        <v>0</v>
      </c>
      <c r="AA26" s="6">
        <f>'School Rollup'!N26</f>
        <v>0</v>
      </c>
      <c r="AB26" s="6">
        <f>'School Rollup'!O26</f>
        <v>0</v>
      </c>
      <c r="AC26"/>
      <c r="AD26" s="6">
        <f>CSO!E45</f>
        <v>0</v>
      </c>
      <c r="AE26" s="6">
        <f>CSO!F45</f>
        <v>0</v>
      </c>
      <c r="AF26" s="6">
        <f>CSO!G45</f>
        <v>0</v>
      </c>
      <c r="AG26" s="6">
        <f>CSO!H45</f>
        <v>0</v>
      </c>
      <c r="AH26" s="6">
        <f>CSO!I45</f>
        <v>0</v>
      </c>
      <c r="AI26" s="6">
        <f>CSO!J45</f>
        <v>0</v>
      </c>
      <c r="AJ26" s="6">
        <f>CSO!K45</f>
        <v>0</v>
      </c>
      <c r="AK26" s="6">
        <f>CSO!L45</f>
        <v>0</v>
      </c>
      <c r="AL26" s="6">
        <f>CSO!M45</f>
        <v>0</v>
      </c>
      <c r="AM26" s="6">
        <f>CSO!N45</f>
        <v>0</v>
      </c>
      <c r="AN26" s="6">
        <f>CSO!O45</f>
        <v>0</v>
      </c>
      <c r="AO26" s="6">
        <f>CSO!P45</f>
        <v>0</v>
      </c>
      <c r="AP26"/>
    </row>
    <row r="27" spans="1:42" s="6" customFormat="1" hidden="1" outlineLevel="2" x14ac:dyDescent="0.25">
      <c r="A27" s="18" t="s">
        <v>404</v>
      </c>
      <c r="B27" s="144" t="s">
        <v>382</v>
      </c>
      <c r="C27" s="2"/>
      <c r="D27" s="154">
        <f t="shared" si="15"/>
        <v>786034.5</v>
      </c>
      <c r="E27" s="154">
        <f t="shared" si="16"/>
        <v>801755.19000000006</v>
      </c>
      <c r="F27" s="154">
        <f t="shared" si="17"/>
        <v>904876.96000000008</v>
      </c>
      <c r="G27" s="154">
        <f t="shared" si="18"/>
        <v>922278.44</v>
      </c>
      <c r="H27" s="154">
        <f t="shared" si="19"/>
        <v>939679.92000000016</v>
      </c>
      <c r="I27" s="154">
        <f t="shared" si="20"/>
        <v>957081.40000000014</v>
      </c>
      <c r="J27" s="154">
        <f t="shared" si="21"/>
        <v>974482.88000000012</v>
      </c>
      <c r="K27" s="154">
        <f t="shared" si="22"/>
        <v>991884.36000000022</v>
      </c>
      <c r="L27" s="154">
        <f t="shared" si="23"/>
        <v>1009285.8400000001</v>
      </c>
      <c r="M27" s="154">
        <f t="shared" si="24"/>
        <v>1026687.32</v>
      </c>
      <c r="N27" s="154">
        <f t="shared" si="25"/>
        <v>1044088.8</v>
      </c>
      <c r="O27" s="154">
        <f t="shared" si="26"/>
        <v>1061490.28</v>
      </c>
      <c r="P27" s="2"/>
      <c r="Q27" s="6">
        <f>'School Rollup'!D27</f>
        <v>430084.5</v>
      </c>
      <c r="R27" s="6">
        <f>'School Rollup'!E27</f>
        <v>438686.19000000006</v>
      </c>
      <c r="S27" s="6">
        <f>'School Rollup'!F27</f>
        <v>534688.96000000008</v>
      </c>
      <c r="T27" s="6">
        <f>'School Rollup'!G27</f>
        <v>544971.43999999994</v>
      </c>
      <c r="U27" s="6">
        <f>'School Rollup'!H27</f>
        <v>555253.92000000004</v>
      </c>
      <c r="V27" s="6">
        <f>'School Rollup'!I27</f>
        <v>565536.40000000014</v>
      </c>
      <c r="W27" s="6">
        <f>'School Rollup'!J27</f>
        <v>575818.88000000012</v>
      </c>
      <c r="X27" s="6">
        <f>'School Rollup'!K27</f>
        <v>586101.3600000001</v>
      </c>
      <c r="Y27" s="6">
        <f>'School Rollup'!L27</f>
        <v>596383.84000000008</v>
      </c>
      <c r="Z27" s="6">
        <f>'School Rollup'!M27</f>
        <v>606666.31999999995</v>
      </c>
      <c r="AA27" s="6">
        <f>'School Rollup'!N27</f>
        <v>616948.80000000005</v>
      </c>
      <c r="AB27" s="6">
        <f>'School Rollup'!O27</f>
        <v>627231.28</v>
      </c>
      <c r="AC27"/>
      <c r="AD27" s="6">
        <f>CSO!E46</f>
        <v>355950</v>
      </c>
      <c r="AE27" s="6">
        <f>CSO!F46</f>
        <v>363069</v>
      </c>
      <c r="AF27" s="6">
        <f>CSO!G46</f>
        <v>370188</v>
      </c>
      <c r="AG27" s="6">
        <f>CSO!H46</f>
        <v>377307</v>
      </c>
      <c r="AH27" s="6">
        <f>CSO!I46</f>
        <v>384426.00000000006</v>
      </c>
      <c r="AI27" s="6">
        <f>CSO!J46</f>
        <v>391545</v>
      </c>
      <c r="AJ27" s="6">
        <f>CSO!K46</f>
        <v>398664</v>
      </c>
      <c r="AK27" s="6">
        <f>CSO!L46</f>
        <v>405783.00000000012</v>
      </c>
      <c r="AL27" s="6">
        <f>CSO!M46</f>
        <v>412902</v>
      </c>
      <c r="AM27" s="6">
        <f>CSO!N46</f>
        <v>420021</v>
      </c>
      <c r="AN27" s="6">
        <f>CSO!O46</f>
        <v>427140</v>
      </c>
      <c r="AO27" s="6">
        <f>CSO!P46</f>
        <v>434259</v>
      </c>
      <c r="AP27"/>
    </row>
    <row r="28" spans="1:42" s="6" customFormat="1" hidden="1" outlineLevel="1" x14ac:dyDescent="0.25">
      <c r="A28" s="18">
        <v>6114</v>
      </c>
      <c r="B28" s="144" t="s">
        <v>569</v>
      </c>
      <c r="C28" s="2"/>
      <c r="D28" s="154">
        <f t="shared" si="15"/>
        <v>786034.5</v>
      </c>
      <c r="E28" s="154">
        <f t="shared" si="16"/>
        <v>801755.19000000006</v>
      </c>
      <c r="F28" s="154">
        <f t="shared" si="17"/>
        <v>904876.96000000008</v>
      </c>
      <c r="G28" s="154">
        <f t="shared" si="18"/>
        <v>922278.44</v>
      </c>
      <c r="H28" s="154">
        <f t="shared" si="19"/>
        <v>939679.92000000016</v>
      </c>
      <c r="I28" s="154">
        <f t="shared" si="20"/>
        <v>957081.40000000014</v>
      </c>
      <c r="J28" s="154">
        <f t="shared" si="21"/>
        <v>974482.88000000012</v>
      </c>
      <c r="K28" s="154">
        <f t="shared" si="22"/>
        <v>991884.36000000022</v>
      </c>
      <c r="L28" s="154">
        <f t="shared" si="23"/>
        <v>1009285.8400000001</v>
      </c>
      <c r="M28" s="154">
        <f t="shared" si="24"/>
        <v>1026687.32</v>
      </c>
      <c r="N28" s="154">
        <f t="shared" si="25"/>
        <v>1044088.8</v>
      </c>
      <c r="O28" s="154">
        <f t="shared" si="26"/>
        <v>1061490.28</v>
      </c>
      <c r="P28" s="2"/>
      <c r="Q28" s="6">
        <f>'School Rollup'!D28</f>
        <v>430084.5</v>
      </c>
      <c r="R28" s="6">
        <f>'School Rollup'!E28</f>
        <v>438686.19000000006</v>
      </c>
      <c r="S28" s="6">
        <f>'School Rollup'!F28</f>
        <v>534688.96000000008</v>
      </c>
      <c r="T28" s="6">
        <f>'School Rollup'!G28</f>
        <v>544971.43999999994</v>
      </c>
      <c r="U28" s="6">
        <f>'School Rollup'!H28</f>
        <v>555253.92000000004</v>
      </c>
      <c r="V28" s="6">
        <f>'School Rollup'!I28</f>
        <v>565536.40000000014</v>
      </c>
      <c r="W28" s="6">
        <f>'School Rollup'!J28</f>
        <v>575818.88000000012</v>
      </c>
      <c r="X28" s="6">
        <f>'School Rollup'!K28</f>
        <v>586101.3600000001</v>
      </c>
      <c r="Y28" s="6">
        <f>'School Rollup'!L28</f>
        <v>596383.84000000008</v>
      </c>
      <c r="Z28" s="6">
        <f>'School Rollup'!M28</f>
        <v>606666.31999999995</v>
      </c>
      <c r="AA28" s="6">
        <f>'School Rollup'!N28</f>
        <v>616948.80000000005</v>
      </c>
      <c r="AB28" s="6">
        <f>'School Rollup'!O28</f>
        <v>627231.28</v>
      </c>
      <c r="AC28"/>
      <c r="AD28" s="6">
        <f>CSO!E47</f>
        <v>355950</v>
      </c>
      <c r="AE28" s="6">
        <f>CSO!F47</f>
        <v>363069</v>
      </c>
      <c r="AF28" s="6">
        <f>CSO!G47</f>
        <v>370188</v>
      </c>
      <c r="AG28" s="6">
        <f>CSO!H47</f>
        <v>377307</v>
      </c>
      <c r="AH28" s="6">
        <f>CSO!I47</f>
        <v>384426.00000000006</v>
      </c>
      <c r="AI28" s="6">
        <f>CSO!J47</f>
        <v>391545</v>
      </c>
      <c r="AJ28" s="6">
        <f>CSO!K47</f>
        <v>398664</v>
      </c>
      <c r="AK28" s="6">
        <f>CSO!L47</f>
        <v>405783.00000000012</v>
      </c>
      <c r="AL28" s="6">
        <f>CSO!M47</f>
        <v>412902</v>
      </c>
      <c r="AM28" s="6">
        <f>CSO!N47</f>
        <v>420021</v>
      </c>
      <c r="AN28" s="6">
        <f>CSO!O47</f>
        <v>427140</v>
      </c>
      <c r="AO28" s="6">
        <f>CSO!P47</f>
        <v>434259</v>
      </c>
      <c r="AP28"/>
    </row>
    <row r="29" spans="1:42" s="6" customFormat="1" hidden="1" outlineLevel="2" x14ac:dyDescent="0.25">
      <c r="A29" s="18" t="s">
        <v>407</v>
      </c>
      <c r="B29" s="144" t="s">
        <v>570</v>
      </c>
      <c r="C29" s="2"/>
      <c r="D29" s="154">
        <f t="shared" si="15"/>
        <v>343448.1</v>
      </c>
      <c r="E29" s="154">
        <f t="shared" si="16"/>
        <v>443734.94519999996</v>
      </c>
      <c r="F29" s="154">
        <f t="shared" si="17"/>
        <v>452435.63040000002</v>
      </c>
      <c r="G29" s="154">
        <f t="shared" si="18"/>
        <v>509676.9804</v>
      </c>
      <c r="H29" s="154">
        <f t="shared" si="19"/>
        <v>519293.52720000001</v>
      </c>
      <c r="I29" s="154">
        <f t="shared" si="20"/>
        <v>528910.07400000002</v>
      </c>
      <c r="J29" s="154">
        <f t="shared" si="21"/>
        <v>538526.62080000003</v>
      </c>
      <c r="K29" s="154">
        <f t="shared" si="22"/>
        <v>548143.16760000004</v>
      </c>
      <c r="L29" s="154">
        <f t="shared" si="23"/>
        <v>557759.71439999994</v>
      </c>
      <c r="M29" s="154">
        <f t="shared" si="24"/>
        <v>567376.26120000007</v>
      </c>
      <c r="N29" s="154">
        <f t="shared" si="25"/>
        <v>576992.80800000008</v>
      </c>
      <c r="O29" s="154">
        <f t="shared" si="26"/>
        <v>586609.35479999997</v>
      </c>
      <c r="P29" s="2"/>
      <c r="Q29" s="6">
        <f>'School Rollup'!D29</f>
        <v>137379.24</v>
      </c>
      <c r="R29" s="6">
        <f>'School Rollup'!E29</f>
        <v>233544.70799999998</v>
      </c>
      <c r="S29" s="6">
        <f>'School Rollup'!F29</f>
        <v>238124.016</v>
      </c>
      <c r="T29" s="6">
        <f>'School Rollup'!G29</f>
        <v>291243.98879999999</v>
      </c>
      <c r="U29" s="6">
        <f>'School Rollup'!H29</f>
        <v>296739.15840000001</v>
      </c>
      <c r="V29" s="6">
        <f>'School Rollup'!I29</f>
        <v>302234.32799999998</v>
      </c>
      <c r="W29" s="6">
        <f>'School Rollup'!J29</f>
        <v>307729.49760000006</v>
      </c>
      <c r="X29" s="6">
        <f>'School Rollup'!K29</f>
        <v>313224.66720000003</v>
      </c>
      <c r="Y29" s="6">
        <f>'School Rollup'!L29</f>
        <v>318719.83679999999</v>
      </c>
      <c r="Z29" s="6">
        <f>'School Rollup'!M29</f>
        <v>324215.00640000001</v>
      </c>
      <c r="AA29" s="6">
        <f>'School Rollup'!N29</f>
        <v>329710.17600000004</v>
      </c>
      <c r="AB29" s="6">
        <f>'School Rollup'!O29</f>
        <v>335205.3456</v>
      </c>
      <c r="AC29"/>
      <c r="AD29" s="6">
        <f>CSO!E48</f>
        <v>206068.86000000002</v>
      </c>
      <c r="AE29" s="6">
        <f>CSO!F48</f>
        <v>210190.2372</v>
      </c>
      <c r="AF29" s="6">
        <f>CSO!G48</f>
        <v>214311.61440000002</v>
      </c>
      <c r="AG29" s="6">
        <f>CSO!H48</f>
        <v>218432.99160000001</v>
      </c>
      <c r="AH29" s="6">
        <f>CSO!I48</f>
        <v>222554.3688</v>
      </c>
      <c r="AI29" s="6">
        <f>CSO!J48</f>
        <v>226675.74600000001</v>
      </c>
      <c r="AJ29" s="6">
        <f>CSO!K48</f>
        <v>230797.1232</v>
      </c>
      <c r="AK29" s="6">
        <f>CSO!L48</f>
        <v>234918.50040000005</v>
      </c>
      <c r="AL29" s="6">
        <f>CSO!M48</f>
        <v>239039.87760000001</v>
      </c>
      <c r="AM29" s="6">
        <f>CSO!N48</f>
        <v>243161.2548</v>
      </c>
      <c r="AN29" s="6">
        <f>CSO!O48</f>
        <v>247282.63200000001</v>
      </c>
      <c r="AO29" s="6">
        <f>CSO!P48</f>
        <v>251404.0092</v>
      </c>
      <c r="AP29"/>
    </row>
    <row r="30" spans="1:42" s="6" customFormat="1" hidden="1" outlineLevel="2" x14ac:dyDescent="0.25">
      <c r="A30" s="18" t="s">
        <v>408</v>
      </c>
      <c r="B30" s="144" t="s">
        <v>570</v>
      </c>
      <c r="C30" s="2"/>
      <c r="D30" s="154">
        <f t="shared" si="15"/>
        <v>118650</v>
      </c>
      <c r="E30" s="154">
        <f t="shared" si="16"/>
        <v>121023</v>
      </c>
      <c r="F30" s="154">
        <f t="shared" si="17"/>
        <v>123396</v>
      </c>
      <c r="G30" s="154">
        <f t="shared" si="18"/>
        <v>125769</v>
      </c>
      <c r="H30" s="154">
        <f t="shared" si="19"/>
        <v>128142.00000000001</v>
      </c>
      <c r="I30" s="154">
        <f t="shared" si="20"/>
        <v>130515</v>
      </c>
      <c r="J30" s="154">
        <f t="shared" si="21"/>
        <v>132888</v>
      </c>
      <c r="K30" s="154">
        <f t="shared" si="22"/>
        <v>135261.00000000003</v>
      </c>
      <c r="L30" s="154">
        <f t="shared" si="23"/>
        <v>137634</v>
      </c>
      <c r="M30" s="154">
        <f t="shared" si="24"/>
        <v>140007</v>
      </c>
      <c r="N30" s="154">
        <f t="shared" si="25"/>
        <v>142380</v>
      </c>
      <c r="O30" s="154">
        <f t="shared" si="26"/>
        <v>144753</v>
      </c>
      <c r="P30" s="2"/>
      <c r="Q30" s="6">
        <f>'School Rollup'!D30</f>
        <v>0</v>
      </c>
      <c r="R30" s="6">
        <f>'School Rollup'!E30</f>
        <v>0</v>
      </c>
      <c r="S30" s="6">
        <f>'School Rollup'!F30</f>
        <v>0</v>
      </c>
      <c r="T30" s="6">
        <f>'School Rollup'!G30</f>
        <v>0</v>
      </c>
      <c r="U30" s="6">
        <f>'School Rollup'!H30</f>
        <v>0</v>
      </c>
      <c r="V30" s="6">
        <f>'School Rollup'!I30</f>
        <v>0</v>
      </c>
      <c r="W30" s="6">
        <f>'School Rollup'!J30</f>
        <v>0</v>
      </c>
      <c r="X30" s="6">
        <f>'School Rollup'!K30</f>
        <v>0</v>
      </c>
      <c r="Y30" s="6">
        <f>'School Rollup'!L30</f>
        <v>0</v>
      </c>
      <c r="Z30" s="6">
        <f>'School Rollup'!M30</f>
        <v>0</v>
      </c>
      <c r="AA30" s="6">
        <f>'School Rollup'!N30</f>
        <v>0</v>
      </c>
      <c r="AB30" s="6">
        <f>'School Rollup'!O30</f>
        <v>0</v>
      </c>
      <c r="AC30"/>
      <c r="AD30" s="6">
        <f>CSO!E49</f>
        <v>118650</v>
      </c>
      <c r="AE30" s="6">
        <f>CSO!F49</f>
        <v>121023</v>
      </c>
      <c r="AF30" s="6">
        <f>CSO!G49</f>
        <v>123396</v>
      </c>
      <c r="AG30" s="6">
        <f>CSO!H49</f>
        <v>125769</v>
      </c>
      <c r="AH30" s="6">
        <f>CSO!I49</f>
        <v>128142.00000000001</v>
      </c>
      <c r="AI30" s="6">
        <f>CSO!J49</f>
        <v>130515</v>
      </c>
      <c r="AJ30" s="6">
        <f>CSO!K49</f>
        <v>132888</v>
      </c>
      <c r="AK30" s="6">
        <f>CSO!L49</f>
        <v>135261.00000000003</v>
      </c>
      <c r="AL30" s="6">
        <f>CSO!M49</f>
        <v>137634</v>
      </c>
      <c r="AM30" s="6">
        <f>CSO!N49</f>
        <v>140007</v>
      </c>
      <c r="AN30" s="6">
        <f>CSO!O49</f>
        <v>142380</v>
      </c>
      <c r="AO30" s="6">
        <f>CSO!P49</f>
        <v>144753</v>
      </c>
      <c r="AP30"/>
    </row>
    <row r="31" spans="1:42" s="6" customFormat="1" hidden="1" outlineLevel="1" x14ac:dyDescent="0.25">
      <c r="A31" s="18">
        <v>6117</v>
      </c>
      <c r="B31" s="144" t="s">
        <v>571</v>
      </c>
      <c r="C31" s="2"/>
      <c r="D31" s="154">
        <f t="shared" si="15"/>
        <v>462098.1</v>
      </c>
      <c r="E31" s="154">
        <f t="shared" si="16"/>
        <v>564757.94519999996</v>
      </c>
      <c r="F31" s="154">
        <f t="shared" si="17"/>
        <v>575831.63040000002</v>
      </c>
      <c r="G31" s="154">
        <f t="shared" si="18"/>
        <v>635445.9804</v>
      </c>
      <c r="H31" s="154">
        <f t="shared" si="19"/>
        <v>647435.52720000001</v>
      </c>
      <c r="I31" s="154">
        <f t="shared" si="20"/>
        <v>659425.07400000002</v>
      </c>
      <c r="J31" s="154">
        <f t="shared" si="21"/>
        <v>671414.62080000015</v>
      </c>
      <c r="K31" s="154">
        <f t="shared" si="22"/>
        <v>683404.16760000004</v>
      </c>
      <c r="L31" s="154">
        <f t="shared" si="23"/>
        <v>695393.71439999994</v>
      </c>
      <c r="M31" s="154">
        <f t="shared" si="24"/>
        <v>707383.26120000007</v>
      </c>
      <c r="N31" s="154">
        <f t="shared" si="25"/>
        <v>719372.80799999996</v>
      </c>
      <c r="O31" s="154">
        <f t="shared" si="26"/>
        <v>731362.35479999997</v>
      </c>
      <c r="P31" s="2"/>
      <c r="Q31" s="6">
        <f>'School Rollup'!D31</f>
        <v>137379.24</v>
      </c>
      <c r="R31" s="6">
        <f>'School Rollup'!E31</f>
        <v>233544.70799999998</v>
      </c>
      <c r="S31" s="6">
        <f>'School Rollup'!F31</f>
        <v>238124.016</v>
      </c>
      <c r="T31" s="6">
        <f>'School Rollup'!G31</f>
        <v>291243.98879999999</v>
      </c>
      <c r="U31" s="6">
        <f>'School Rollup'!H31</f>
        <v>296739.15840000001</v>
      </c>
      <c r="V31" s="6">
        <f>'School Rollup'!I31</f>
        <v>302234.32799999998</v>
      </c>
      <c r="W31" s="6">
        <f>'School Rollup'!J31</f>
        <v>307729.49760000006</v>
      </c>
      <c r="X31" s="6">
        <f>'School Rollup'!K31</f>
        <v>313224.66720000003</v>
      </c>
      <c r="Y31" s="6">
        <f>'School Rollup'!L31</f>
        <v>318719.83679999999</v>
      </c>
      <c r="Z31" s="6">
        <f>'School Rollup'!M31</f>
        <v>324215.00640000001</v>
      </c>
      <c r="AA31" s="6">
        <f>'School Rollup'!N31</f>
        <v>329710.17600000004</v>
      </c>
      <c r="AB31" s="6">
        <f>'School Rollup'!O31</f>
        <v>335205.3456</v>
      </c>
      <c r="AC31"/>
      <c r="AD31" s="6">
        <f>CSO!E50</f>
        <v>324718.86</v>
      </c>
      <c r="AE31" s="6">
        <f>CSO!F50</f>
        <v>331213.23719999997</v>
      </c>
      <c r="AF31" s="6">
        <f>CSO!G50</f>
        <v>337707.61440000002</v>
      </c>
      <c r="AG31" s="6">
        <f>CSO!H50</f>
        <v>344201.99160000001</v>
      </c>
      <c r="AH31" s="6">
        <f>CSO!I50</f>
        <v>350696.3688</v>
      </c>
      <c r="AI31" s="6">
        <f>CSO!J50</f>
        <v>357190.74600000004</v>
      </c>
      <c r="AJ31" s="6">
        <f>CSO!K50</f>
        <v>363685.12320000003</v>
      </c>
      <c r="AK31" s="6">
        <f>CSO!L50</f>
        <v>370179.50040000008</v>
      </c>
      <c r="AL31" s="6">
        <f>CSO!M50</f>
        <v>376673.87760000001</v>
      </c>
      <c r="AM31" s="6">
        <f>CSO!N50</f>
        <v>383168.2548</v>
      </c>
      <c r="AN31" s="6">
        <f>CSO!O50</f>
        <v>389662.63199999998</v>
      </c>
      <c r="AO31" s="6">
        <f>CSO!P50</f>
        <v>396157.00919999997</v>
      </c>
      <c r="AP31"/>
    </row>
    <row r="32" spans="1:42" s="6" customFormat="1" hidden="1" outlineLevel="1" x14ac:dyDescent="0.25">
      <c r="A32" s="18">
        <v>6127</v>
      </c>
      <c r="B32" s="144" t="s">
        <v>373</v>
      </c>
      <c r="C32" s="2"/>
      <c r="D32" s="154">
        <f t="shared" si="15"/>
        <v>96340</v>
      </c>
      <c r="E32" s="154">
        <f t="shared" si="16"/>
        <v>128866.8</v>
      </c>
      <c r="F32" s="154">
        <f t="shared" si="17"/>
        <v>150113.60000000001</v>
      </c>
      <c r="G32" s="154">
        <f t="shared" si="18"/>
        <v>165720.4</v>
      </c>
      <c r="H32" s="154">
        <f t="shared" si="19"/>
        <v>176947.20000000001</v>
      </c>
      <c r="I32" s="154">
        <f t="shared" si="20"/>
        <v>180224</v>
      </c>
      <c r="J32" s="154">
        <f t="shared" si="21"/>
        <v>183500.80000000002</v>
      </c>
      <c r="K32" s="154">
        <f t="shared" si="22"/>
        <v>186777.60000000003</v>
      </c>
      <c r="L32" s="154">
        <f t="shared" si="23"/>
        <v>190054.39999999999</v>
      </c>
      <c r="M32" s="154">
        <f t="shared" si="24"/>
        <v>193331.20000000001</v>
      </c>
      <c r="N32" s="154">
        <f t="shared" si="25"/>
        <v>196608</v>
      </c>
      <c r="O32" s="154">
        <f t="shared" si="26"/>
        <v>199884.79999999999</v>
      </c>
      <c r="P32" s="2"/>
      <c r="Q32" s="6">
        <f>'School Rollup'!D32</f>
        <v>96340</v>
      </c>
      <c r="R32" s="6">
        <f>'School Rollup'!E32</f>
        <v>128866.8</v>
      </c>
      <c r="S32" s="6">
        <f>'School Rollup'!F32</f>
        <v>150113.60000000001</v>
      </c>
      <c r="T32" s="6">
        <f>'School Rollup'!G32</f>
        <v>165720.4</v>
      </c>
      <c r="U32" s="6">
        <f>'School Rollup'!H32</f>
        <v>176947.20000000001</v>
      </c>
      <c r="V32" s="6">
        <f>'School Rollup'!I32</f>
        <v>180224</v>
      </c>
      <c r="W32" s="6">
        <f>'School Rollup'!J32</f>
        <v>183500.80000000002</v>
      </c>
      <c r="X32" s="6">
        <f>'School Rollup'!K32</f>
        <v>186777.60000000003</v>
      </c>
      <c r="Y32" s="6">
        <f>'School Rollup'!L32</f>
        <v>190054.39999999999</v>
      </c>
      <c r="Z32" s="6">
        <f>'School Rollup'!M32</f>
        <v>193331.20000000001</v>
      </c>
      <c r="AA32" s="6">
        <f>'School Rollup'!N32</f>
        <v>196608</v>
      </c>
      <c r="AB32" s="6">
        <f>'School Rollup'!O32</f>
        <v>199884.79999999999</v>
      </c>
      <c r="AC32"/>
      <c r="AD32" s="6">
        <f>CSO!E51</f>
        <v>0</v>
      </c>
      <c r="AE32" s="6">
        <f>CSO!F51</f>
        <v>0</v>
      </c>
      <c r="AF32" s="6">
        <f>CSO!G51</f>
        <v>0</v>
      </c>
      <c r="AG32" s="6">
        <f>CSO!H51</f>
        <v>0</v>
      </c>
      <c r="AH32" s="6">
        <f>CSO!I51</f>
        <v>0</v>
      </c>
      <c r="AI32" s="6">
        <f>CSO!J51</f>
        <v>0</v>
      </c>
      <c r="AJ32" s="6">
        <f>CSO!K51</f>
        <v>0</v>
      </c>
      <c r="AK32" s="6">
        <f>CSO!L51</f>
        <v>0</v>
      </c>
      <c r="AL32" s="6">
        <f>CSO!M51</f>
        <v>0</v>
      </c>
      <c r="AM32" s="6">
        <f>CSO!N51</f>
        <v>0</v>
      </c>
      <c r="AN32" s="6">
        <f>CSO!O51</f>
        <v>0</v>
      </c>
      <c r="AO32" s="6">
        <f>CSO!P51</f>
        <v>0</v>
      </c>
      <c r="AP32"/>
    </row>
    <row r="33" spans="1:42" s="6" customFormat="1" hidden="1" outlineLevel="1" x14ac:dyDescent="0.25">
      <c r="A33" s="18">
        <v>6151</v>
      </c>
      <c r="B33" s="144" t="s">
        <v>572</v>
      </c>
      <c r="C33" s="2"/>
      <c r="D33" s="154">
        <f t="shared" si="15"/>
        <v>6000</v>
      </c>
      <c r="E33" s="154">
        <f t="shared" si="16"/>
        <v>6000</v>
      </c>
      <c r="F33" s="154">
        <f t="shared" si="17"/>
        <v>8500</v>
      </c>
      <c r="G33" s="154">
        <f t="shared" si="18"/>
        <v>8500</v>
      </c>
      <c r="H33" s="154">
        <f t="shared" si="19"/>
        <v>8500</v>
      </c>
      <c r="I33" s="154">
        <f t="shared" si="20"/>
        <v>8500</v>
      </c>
      <c r="J33" s="154">
        <f t="shared" si="21"/>
        <v>8500</v>
      </c>
      <c r="K33" s="154">
        <f t="shared" si="22"/>
        <v>10000</v>
      </c>
      <c r="L33" s="154">
        <f t="shared" si="23"/>
        <v>11500</v>
      </c>
      <c r="M33" s="154">
        <f t="shared" si="24"/>
        <v>14000</v>
      </c>
      <c r="N33" s="154">
        <f t="shared" si="25"/>
        <v>14000</v>
      </c>
      <c r="O33" s="154">
        <f t="shared" si="26"/>
        <v>14000</v>
      </c>
      <c r="P33" s="2"/>
      <c r="Q33" s="6">
        <f>'School Rollup'!D33</f>
        <v>6000</v>
      </c>
      <c r="R33" s="6">
        <f>'School Rollup'!E33</f>
        <v>6000</v>
      </c>
      <c r="S33" s="6">
        <f>'School Rollup'!F33</f>
        <v>8500</v>
      </c>
      <c r="T33" s="6">
        <f>'School Rollup'!G33</f>
        <v>8500</v>
      </c>
      <c r="U33" s="6">
        <f>'School Rollup'!H33</f>
        <v>8500</v>
      </c>
      <c r="V33" s="6">
        <f>'School Rollup'!I33</f>
        <v>8500</v>
      </c>
      <c r="W33" s="6">
        <f>'School Rollup'!J33</f>
        <v>8500</v>
      </c>
      <c r="X33" s="6">
        <f>'School Rollup'!K33</f>
        <v>10000</v>
      </c>
      <c r="Y33" s="6">
        <f>'School Rollup'!L33</f>
        <v>11500</v>
      </c>
      <c r="Z33" s="6">
        <f>'School Rollup'!M33</f>
        <v>14000</v>
      </c>
      <c r="AA33" s="6">
        <f>'School Rollup'!N33</f>
        <v>14000</v>
      </c>
      <c r="AB33" s="6">
        <f>'School Rollup'!O33</f>
        <v>14000</v>
      </c>
      <c r="AC33"/>
      <c r="AD33" s="6">
        <f>CSO!E52</f>
        <v>0</v>
      </c>
      <c r="AE33" s="6">
        <f>CSO!F52</f>
        <v>0</v>
      </c>
      <c r="AF33" s="6">
        <f>CSO!G52</f>
        <v>0</v>
      </c>
      <c r="AG33" s="6">
        <f>CSO!H52</f>
        <v>0</v>
      </c>
      <c r="AH33" s="6">
        <f>CSO!I52</f>
        <v>0</v>
      </c>
      <c r="AI33" s="6">
        <f>CSO!J52</f>
        <v>0</v>
      </c>
      <c r="AJ33" s="6">
        <f>CSO!K52</f>
        <v>0</v>
      </c>
      <c r="AK33" s="6">
        <f>CSO!L52</f>
        <v>0</v>
      </c>
      <c r="AL33" s="6">
        <f>CSO!M52</f>
        <v>0</v>
      </c>
      <c r="AM33" s="6">
        <f>CSO!N52</f>
        <v>0</v>
      </c>
      <c r="AN33" s="6">
        <f>CSO!O52</f>
        <v>0</v>
      </c>
      <c r="AO33" s="6">
        <f>CSO!P52</f>
        <v>0</v>
      </c>
      <c r="AP33"/>
    </row>
    <row r="34" spans="1:42" s="6" customFormat="1" hidden="1" outlineLevel="1" x14ac:dyDescent="0.25">
      <c r="A34" s="18">
        <v>6154</v>
      </c>
      <c r="B34" s="144" t="s">
        <v>573</v>
      </c>
      <c r="C34" s="2"/>
      <c r="D34" s="154">
        <f t="shared" si="15"/>
        <v>49000</v>
      </c>
      <c r="E34" s="154">
        <f t="shared" si="16"/>
        <v>49480</v>
      </c>
      <c r="F34" s="154">
        <f t="shared" si="17"/>
        <v>52960</v>
      </c>
      <c r="G34" s="154">
        <f t="shared" si="18"/>
        <v>53440</v>
      </c>
      <c r="H34" s="154">
        <f t="shared" si="19"/>
        <v>53920</v>
      </c>
      <c r="I34" s="154">
        <f t="shared" si="20"/>
        <v>54400</v>
      </c>
      <c r="J34" s="154">
        <f t="shared" si="21"/>
        <v>54880</v>
      </c>
      <c r="K34" s="154">
        <f t="shared" si="22"/>
        <v>55360.000000000007</v>
      </c>
      <c r="L34" s="154">
        <f t="shared" si="23"/>
        <v>55840</v>
      </c>
      <c r="M34" s="154">
        <f t="shared" si="24"/>
        <v>56320</v>
      </c>
      <c r="N34" s="154">
        <f t="shared" si="25"/>
        <v>56800</v>
      </c>
      <c r="O34" s="154">
        <f t="shared" si="26"/>
        <v>57280</v>
      </c>
      <c r="P34" s="2"/>
      <c r="Q34" s="6">
        <f>'School Rollup'!D34</f>
        <v>25000</v>
      </c>
      <c r="R34" s="6">
        <f>'School Rollup'!E34</f>
        <v>25000</v>
      </c>
      <c r="S34" s="6">
        <f>'School Rollup'!F34</f>
        <v>28000</v>
      </c>
      <c r="T34" s="6">
        <f>'School Rollup'!G34</f>
        <v>28000</v>
      </c>
      <c r="U34" s="6">
        <f>'School Rollup'!H34</f>
        <v>28000</v>
      </c>
      <c r="V34" s="6">
        <f>'School Rollup'!I34</f>
        <v>28000</v>
      </c>
      <c r="W34" s="6">
        <f>'School Rollup'!J34</f>
        <v>28000</v>
      </c>
      <c r="X34" s="6">
        <f>'School Rollup'!K34</f>
        <v>28000</v>
      </c>
      <c r="Y34" s="6">
        <f>'School Rollup'!L34</f>
        <v>28000</v>
      </c>
      <c r="Z34" s="6">
        <f>'School Rollup'!M34</f>
        <v>28000</v>
      </c>
      <c r="AA34" s="6">
        <f>'School Rollup'!N34</f>
        <v>28000</v>
      </c>
      <c r="AB34" s="6">
        <f>'School Rollup'!O34</f>
        <v>28000</v>
      </c>
      <c r="AC34"/>
      <c r="AD34" s="6">
        <f>CSO!E53</f>
        <v>24000</v>
      </c>
      <c r="AE34" s="6">
        <f>CSO!F53</f>
        <v>24480</v>
      </c>
      <c r="AF34" s="6">
        <f>CSO!G53</f>
        <v>24960</v>
      </c>
      <c r="AG34" s="6">
        <f>CSO!H53</f>
        <v>25440</v>
      </c>
      <c r="AH34" s="6">
        <f>CSO!I53</f>
        <v>25920</v>
      </c>
      <c r="AI34" s="6">
        <f>CSO!J53</f>
        <v>26400</v>
      </c>
      <c r="AJ34" s="6">
        <f>CSO!K53</f>
        <v>26880</v>
      </c>
      <c r="AK34" s="6">
        <f>CSO!L53</f>
        <v>27360.000000000007</v>
      </c>
      <c r="AL34" s="6">
        <f>CSO!M53</f>
        <v>27840</v>
      </c>
      <c r="AM34" s="6">
        <f>CSO!N53</f>
        <v>28320</v>
      </c>
      <c r="AN34" s="6">
        <f>CSO!O53</f>
        <v>28800</v>
      </c>
      <c r="AO34" s="6">
        <f>CSO!P53</f>
        <v>29280</v>
      </c>
      <c r="AP34"/>
    </row>
    <row r="35" spans="1:42" s="6" customFormat="1" hidden="1" outlineLevel="1" x14ac:dyDescent="0.25">
      <c r="A35" s="18">
        <v>6157</v>
      </c>
      <c r="B35" s="144" t="s">
        <v>574</v>
      </c>
      <c r="C35" s="2"/>
      <c r="D35" s="154">
        <f t="shared" si="15"/>
        <v>51000</v>
      </c>
      <c r="E35" s="154">
        <f t="shared" si="16"/>
        <v>57800</v>
      </c>
      <c r="F35" s="154">
        <f t="shared" si="17"/>
        <v>58600</v>
      </c>
      <c r="G35" s="154">
        <f t="shared" si="18"/>
        <v>62400</v>
      </c>
      <c r="H35" s="154">
        <f t="shared" si="19"/>
        <v>63200</v>
      </c>
      <c r="I35" s="154">
        <f t="shared" si="20"/>
        <v>64000</v>
      </c>
      <c r="J35" s="154">
        <f t="shared" si="21"/>
        <v>64800</v>
      </c>
      <c r="K35" s="154">
        <f t="shared" si="22"/>
        <v>65600</v>
      </c>
      <c r="L35" s="154">
        <f t="shared" si="23"/>
        <v>66400</v>
      </c>
      <c r="M35" s="154">
        <f t="shared" si="24"/>
        <v>67200</v>
      </c>
      <c r="N35" s="154">
        <f t="shared" si="25"/>
        <v>68000</v>
      </c>
      <c r="O35" s="154">
        <f t="shared" si="26"/>
        <v>68800</v>
      </c>
      <c r="P35" s="2"/>
      <c r="Q35" s="6">
        <f>'School Rollup'!D35</f>
        <v>11000</v>
      </c>
      <c r="R35" s="6">
        <f>'School Rollup'!E35</f>
        <v>17000</v>
      </c>
      <c r="S35" s="6">
        <f>'School Rollup'!F35</f>
        <v>17000</v>
      </c>
      <c r="T35" s="6">
        <f>'School Rollup'!G35</f>
        <v>20000</v>
      </c>
      <c r="U35" s="6">
        <f>'School Rollup'!H35</f>
        <v>20000</v>
      </c>
      <c r="V35" s="6">
        <f>'School Rollup'!I35</f>
        <v>20000</v>
      </c>
      <c r="W35" s="6">
        <f>'School Rollup'!J35</f>
        <v>20000</v>
      </c>
      <c r="X35" s="6">
        <f>'School Rollup'!K35</f>
        <v>20000</v>
      </c>
      <c r="Y35" s="6">
        <f>'School Rollup'!L35</f>
        <v>20000</v>
      </c>
      <c r="Z35" s="6">
        <f>'School Rollup'!M35</f>
        <v>20000</v>
      </c>
      <c r="AA35" s="6">
        <f>'School Rollup'!N35</f>
        <v>20000</v>
      </c>
      <c r="AB35" s="6">
        <f>'School Rollup'!O35</f>
        <v>20000</v>
      </c>
      <c r="AC35"/>
      <c r="AD35" s="6">
        <f>CSO!E54</f>
        <v>40000</v>
      </c>
      <c r="AE35" s="6">
        <f>CSO!F54</f>
        <v>40800</v>
      </c>
      <c r="AF35" s="6">
        <f>CSO!G54</f>
        <v>41600</v>
      </c>
      <c r="AG35" s="6">
        <f>CSO!H54</f>
        <v>42400</v>
      </c>
      <c r="AH35" s="6">
        <f>CSO!I54</f>
        <v>43200</v>
      </c>
      <c r="AI35" s="6">
        <f>CSO!J54</f>
        <v>44000</v>
      </c>
      <c r="AJ35" s="6">
        <f>CSO!K54</f>
        <v>44800</v>
      </c>
      <c r="AK35" s="6">
        <f>CSO!L54</f>
        <v>45600.000000000007</v>
      </c>
      <c r="AL35" s="6">
        <f>CSO!M54</f>
        <v>46400</v>
      </c>
      <c r="AM35" s="6">
        <f>CSO!N54</f>
        <v>47200</v>
      </c>
      <c r="AN35" s="6">
        <f>CSO!O54</f>
        <v>48000</v>
      </c>
      <c r="AO35" s="6">
        <f>CSO!P54</f>
        <v>48800</v>
      </c>
      <c r="AP35"/>
    </row>
    <row r="36" spans="1:42" s="264" customFormat="1" collapsed="1" x14ac:dyDescent="0.25">
      <c r="A36" s="275">
        <v>100</v>
      </c>
      <c r="B36" s="275" t="s">
        <v>371</v>
      </c>
      <c r="D36" s="265">
        <f>Q36+AD36</f>
        <v>1573540.7200000002</v>
      </c>
      <c r="E36" s="265">
        <f t="shared" si="16"/>
        <v>1734189.4175999998</v>
      </c>
      <c r="F36" s="265">
        <f t="shared" si="17"/>
        <v>1911615.0874000003</v>
      </c>
      <c r="G36" s="265">
        <f t="shared" si="18"/>
        <v>2011608.73465</v>
      </c>
      <c r="H36" s="265">
        <f t="shared" si="19"/>
        <v>2056597.5787000002</v>
      </c>
      <c r="I36" s="265">
        <f t="shared" si="20"/>
        <v>2093636.4227500001</v>
      </c>
      <c r="J36" s="265">
        <f t="shared" si="21"/>
        <v>2130675.2668000003</v>
      </c>
      <c r="K36" s="265">
        <f t="shared" si="22"/>
        <v>2205104.4373000003</v>
      </c>
      <c r="L36" s="265">
        <f t="shared" si="23"/>
        <v>2280792.9175</v>
      </c>
      <c r="M36" s="265">
        <f t="shared" si="24"/>
        <v>2358740.7073999997</v>
      </c>
      <c r="N36" s="265">
        <f t="shared" si="25"/>
        <v>2397668.5159999998</v>
      </c>
      <c r="O36" s="265">
        <f t="shared" si="26"/>
        <v>2436596.3245999999</v>
      </c>
      <c r="Q36" s="266">
        <f>'School Rollup'!D36</f>
        <v>828871.8600000001</v>
      </c>
      <c r="R36" s="266">
        <f>'School Rollup'!E36</f>
        <v>974627.18039999995</v>
      </c>
      <c r="S36" s="266">
        <f>'School Rollup'!F36</f>
        <v>1137159.4730000002</v>
      </c>
      <c r="T36" s="266">
        <f>'School Rollup'!G36</f>
        <v>1222259.7430499999</v>
      </c>
      <c r="U36" s="266">
        <f>'School Rollup'!H36</f>
        <v>1252355.2099000001</v>
      </c>
      <c r="V36" s="266">
        <f>'School Rollup'!I36</f>
        <v>1274500.6767500001</v>
      </c>
      <c r="W36" s="266">
        <f>'School Rollup'!J36</f>
        <v>1296646.1436000001</v>
      </c>
      <c r="X36" s="266">
        <f>'School Rollup'!K36</f>
        <v>1356181.9369000001</v>
      </c>
      <c r="Y36" s="266">
        <f>'School Rollup'!L36</f>
        <v>1416977.0399</v>
      </c>
      <c r="Z36" s="266">
        <f>'School Rollup'!M36</f>
        <v>1480031.4526</v>
      </c>
      <c r="AA36" s="266">
        <f>'School Rollup'!N36</f>
        <v>1504065.8840000001</v>
      </c>
      <c r="AB36" s="266">
        <f>'School Rollup'!O36</f>
        <v>1528100.3153999997</v>
      </c>
      <c r="AC36" s="267"/>
      <c r="AD36" s="268">
        <f>CSO!E55</f>
        <v>744668.86</v>
      </c>
      <c r="AE36" s="268">
        <f>CSO!F55</f>
        <v>759562.23719999997</v>
      </c>
      <c r="AF36" s="268">
        <f>CSO!G55</f>
        <v>774455.61440000008</v>
      </c>
      <c r="AG36" s="268">
        <f>CSO!H55</f>
        <v>789348.99160000007</v>
      </c>
      <c r="AH36" s="268">
        <f>CSO!I55</f>
        <v>804242.36880000005</v>
      </c>
      <c r="AI36" s="268">
        <f>CSO!J55</f>
        <v>819135.74600000004</v>
      </c>
      <c r="AJ36" s="268">
        <f>CSO!K55</f>
        <v>834029.12320000003</v>
      </c>
      <c r="AK36" s="268">
        <f>CSO!L55</f>
        <v>848922.50040000025</v>
      </c>
      <c r="AL36" s="268">
        <f>CSO!M55</f>
        <v>863815.87760000001</v>
      </c>
      <c r="AM36" s="268">
        <f>CSO!N55</f>
        <v>878709.2548</v>
      </c>
      <c r="AN36" s="268">
        <f>CSO!O55</f>
        <v>893602.63199999998</v>
      </c>
      <c r="AO36" s="268">
        <f>CSO!P55</f>
        <v>908496.00919999997</v>
      </c>
      <c r="AP36" s="267"/>
    </row>
    <row r="37" spans="1:42" s="2" customFormat="1" hidden="1" outlineLevel="1" x14ac:dyDescent="0.25">
      <c r="A37" s="18">
        <v>6211</v>
      </c>
      <c r="B37" s="18" t="s">
        <v>381</v>
      </c>
      <c r="D37" s="154">
        <f t="shared" ref="D37:D100" si="27">Q37+AD37</f>
        <v>676.87465999999995</v>
      </c>
      <c r="E37" s="154">
        <f t="shared" si="16"/>
        <v>690.41215319999992</v>
      </c>
      <c r="F37" s="154">
        <f t="shared" si="17"/>
        <v>884.03093349999995</v>
      </c>
      <c r="G37" s="154">
        <f t="shared" si="18"/>
        <v>901.03152837499999</v>
      </c>
      <c r="H37" s="154">
        <f t="shared" si="19"/>
        <v>918.03212325000004</v>
      </c>
      <c r="I37" s="154">
        <f t="shared" si="20"/>
        <v>935.03271812499997</v>
      </c>
      <c r="J37" s="154">
        <f t="shared" si="21"/>
        <v>952.03331300000002</v>
      </c>
      <c r="K37" s="154">
        <f t="shared" si="22"/>
        <v>1166.4307033500002</v>
      </c>
      <c r="L37" s="154">
        <f t="shared" si="23"/>
        <v>1387.7542970500001</v>
      </c>
      <c r="M37" s="154">
        <f t="shared" si="24"/>
        <v>1616.0040941</v>
      </c>
      <c r="N37" s="154">
        <f t="shared" si="25"/>
        <v>1643.393994</v>
      </c>
      <c r="O37" s="154">
        <f t="shared" si="26"/>
        <v>1670.7838939000001</v>
      </c>
      <c r="Q37" s="59">
        <f>'School Rollup'!D37</f>
        <v>676.87465999999995</v>
      </c>
      <c r="R37" s="59">
        <f>'School Rollup'!E37</f>
        <v>690.41215319999992</v>
      </c>
      <c r="S37" s="59">
        <f>'School Rollup'!F37</f>
        <v>884.03093349999995</v>
      </c>
      <c r="T37" s="59">
        <f>'School Rollup'!G37</f>
        <v>901.03152837499999</v>
      </c>
      <c r="U37" s="59">
        <f>'School Rollup'!H37</f>
        <v>918.03212325000004</v>
      </c>
      <c r="V37" s="59">
        <f>'School Rollup'!I37</f>
        <v>935.03271812499997</v>
      </c>
      <c r="W37" s="59">
        <f>'School Rollup'!J37</f>
        <v>952.03331300000002</v>
      </c>
      <c r="X37" s="59">
        <f>'School Rollup'!K37</f>
        <v>1166.4307033500002</v>
      </c>
      <c r="Y37" s="59">
        <f>'School Rollup'!L37</f>
        <v>1387.7542970500001</v>
      </c>
      <c r="Z37" s="59">
        <f>'School Rollup'!M37</f>
        <v>1616.0040941</v>
      </c>
      <c r="AA37" s="59">
        <f>'School Rollup'!N37</f>
        <v>1643.393994</v>
      </c>
      <c r="AB37" s="59">
        <f>'School Rollup'!O37</f>
        <v>1670.7838939000001</v>
      </c>
      <c r="AC37"/>
      <c r="AD37" s="6">
        <f>CSO!E56</f>
        <v>0</v>
      </c>
      <c r="AE37" s="6">
        <f>CSO!F56</f>
        <v>0</v>
      </c>
      <c r="AF37" s="6">
        <f>CSO!G56</f>
        <v>0</v>
      </c>
      <c r="AG37" s="6">
        <f>CSO!H56</f>
        <v>0</v>
      </c>
      <c r="AH37" s="6">
        <f>CSO!I56</f>
        <v>0</v>
      </c>
      <c r="AI37" s="6">
        <f>CSO!J56</f>
        <v>0</v>
      </c>
      <c r="AJ37" s="6">
        <f>CSO!K56</f>
        <v>0</v>
      </c>
      <c r="AK37" s="6">
        <f>CSO!L56</f>
        <v>0</v>
      </c>
      <c r="AL37" s="6">
        <f>CSO!M56</f>
        <v>0</v>
      </c>
      <c r="AM37" s="6">
        <f>CSO!N56</f>
        <v>0</v>
      </c>
      <c r="AN37" s="6">
        <f>CSO!O56</f>
        <v>0</v>
      </c>
      <c r="AO37" s="6">
        <f>CSO!P56</f>
        <v>0</v>
      </c>
      <c r="AP37"/>
    </row>
    <row r="38" spans="1:42" s="2" customFormat="1" hidden="1" outlineLevel="1" x14ac:dyDescent="0.25">
      <c r="A38" s="18">
        <v>6214</v>
      </c>
      <c r="B38" s="18" t="s">
        <v>378</v>
      </c>
      <c r="D38" s="154">
        <f t="shared" si="27"/>
        <v>4323.1897499999995</v>
      </c>
      <c r="E38" s="154">
        <f t="shared" si="16"/>
        <v>4409.6535450000001</v>
      </c>
      <c r="F38" s="154">
        <f t="shared" si="17"/>
        <v>4976.8232799999996</v>
      </c>
      <c r="G38" s="154">
        <f t="shared" si="18"/>
        <v>5072.5314199999993</v>
      </c>
      <c r="H38" s="154">
        <f t="shared" si="19"/>
        <v>5168.23956</v>
      </c>
      <c r="I38" s="154">
        <f t="shared" si="20"/>
        <v>5263.9477000000006</v>
      </c>
      <c r="J38" s="154">
        <f t="shared" si="21"/>
        <v>5359.6558400000004</v>
      </c>
      <c r="K38" s="154">
        <f t="shared" si="22"/>
        <v>5455.363980000001</v>
      </c>
      <c r="L38" s="154">
        <f t="shared" si="23"/>
        <v>5551.0721200000007</v>
      </c>
      <c r="M38" s="154">
        <f t="shared" si="24"/>
        <v>5646.7802599999995</v>
      </c>
      <c r="N38" s="154">
        <f t="shared" si="25"/>
        <v>5742.4884000000002</v>
      </c>
      <c r="O38" s="154">
        <f t="shared" si="26"/>
        <v>5838.1965399999999</v>
      </c>
      <c r="Q38" s="59">
        <f>'School Rollup'!D38</f>
        <v>2365.4647499999996</v>
      </c>
      <c r="R38" s="59">
        <f>'School Rollup'!E38</f>
        <v>2412.7740450000001</v>
      </c>
      <c r="S38" s="59">
        <f>'School Rollup'!F38</f>
        <v>2940.78928</v>
      </c>
      <c r="T38" s="59">
        <f>'School Rollup'!G38</f>
        <v>2997.3429199999996</v>
      </c>
      <c r="U38" s="59">
        <f>'School Rollup'!H38</f>
        <v>3053.8965599999997</v>
      </c>
      <c r="V38" s="59">
        <f>'School Rollup'!I38</f>
        <v>3110.4502000000002</v>
      </c>
      <c r="W38" s="59">
        <f>'School Rollup'!J38</f>
        <v>3167.0038400000003</v>
      </c>
      <c r="X38" s="59">
        <f>'School Rollup'!K38</f>
        <v>3223.5574800000004</v>
      </c>
      <c r="Y38" s="59">
        <f>'School Rollup'!L38</f>
        <v>3280.1111200000005</v>
      </c>
      <c r="Z38" s="59">
        <f>'School Rollup'!M38</f>
        <v>3336.6647599999992</v>
      </c>
      <c r="AA38" s="59">
        <f>'School Rollup'!N38</f>
        <v>3393.2183999999997</v>
      </c>
      <c r="AB38" s="59">
        <f>'School Rollup'!O38</f>
        <v>3449.7720399999998</v>
      </c>
      <c r="AC38"/>
      <c r="AD38" s="6">
        <f>CSO!E57</f>
        <v>1957.7249999999999</v>
      </c>
      <c r="AE38" s="6">
        <f>CSO!F57</f>
        <v>1996.8794999999998</v>
      </c>
      <c r="AF38" s="6">
        <f>CSO!G57</f>
        <v>2036.0339999999999</v>
      </c>
      <c r="AG38" s="6">
        <f>CSO!H57</f>
        <v>2075.1884999999997</v>
      </c>
      <c r="AH38" s="6">
        <f>CSO!I57</f>
        <v>2114.3430000000003</v>
      </c>
      <c r="AI38" s="6">
        <f>CSO!J57</f>
        <v>2153.4974999999999</v>
      </c>
      <c r="AJ38" s="6">
        <f>CSO!K57</f>
        <v>2192.652</v>
      </c>
      <c r="AK38" s="6">
        <f>CSO!L57</f>
        <v>2231.8065000000006</v>
      </c>
      <c r="AL38" s="6">
        <f>CSO!M57</f>
        <v>2270.9609999999998</v>
      </c>
      <c r="AM38" s="6">
        <f>CSO!N57</f>
        <v>2310.1154999999999</v>
      </c>
      <c r="AN38" s="6">
        <f>CSO!O57</f>
        <v>2349.27</v>
      </c>
      <c r="AO38" s="6">
        <f>CSO!P57</f>
        <v>2388.4245000000001</v>
      </c>
      <c r="AP38"/>
    </row>
    <row r="39" spans="1:42" s="2" customFormat="1" hidden="1" outlineLevel="1" x14ac:dyDescent="0.25">
      <c r="A39" s="18">
        <v>6217</v>
      </c>
      <c r="B39" s="18" t="s">
        <v>379</v>
      </c>
      <c r="D39" s="154">
        <f t="shared" si="27"/>
        <v>5083.079099999999</v>
      </c>
      <c r="E39" s="154">
        <f t="shared" si="16"/>
        <v>6212.337397199999</v>
      </c>
      <c r="F39" s="154">
        <f t="shared" si="17"/>
        <v>6334.1479343999999</v>
      </c>
      <c r="G39" s="154">
        <f t="shared" si="18"/>
        <v>6989.9057843999999</v>
      </c>
      <c r="H39" s="154">
        <f t="shared" si="19"/>
        <v>7121.7907992</v>
      </c>
      <c r="I39" s="154">
        <f t="shared" si="20"/>
        <v>7253.6758140000002</v>
      </c>
      <c r="J39" s="154">
        <f t="shared" si="21"/>
        <v>7385.5608288000003</v>
      </c>
      <c r="K39" s="154">
        <f t="shared" si="22"/>
        <v>7517.4458436000004</v>
      </c>
      <c r="L39" s="154">
        <f t="shared" si="23"/>
        <v>7649.3308583999988</v>
      </c>
      <c r="M39" s="154">
        <f t="shared" si="24"/>
        <v>7781.2158731999989</v>
      </c>
      <c r="N39" s="154">
        <f t="shared" si="25"/>
        <v>7913.1008879999999</v>
      </c>
      <c r="O39" s="154">
        <f t="shared" si="26"/>
        <v>8044.9859027999992</v>
      </c>
      <c r="Q39" s="59">
        <f>'School Rollup'!D39</f>
        <v>1511.17164</v>
      </c>
      <c r="R39" s="59">
        <f>'School Rollup'!E39</f>
        <v>2568.9917879999994</v>
      </c>
      <c r="S39" s="59">
        <f>'School Rollup'!F39</f>
        <v>2619.3641759999996</v>
      </c>
      <c r="T39" s="59">
        <f>'School Rollup'!G39</f>
        <v>3203.6838767999998</v>
      </c>
      <c r="U39" s="59">
        <f>'School Rollup'!H39</f>
        <v>3264.1307424000001</v>
      </c>
      <c r="V39" s="59">
        <f>'School Rollup'!I39</f>
        <v>3324.5776080000005</v>
      </c>
      <c r="W39" s="59">
        <f>'School Rollup'!J39</f>
        <v>3385.0244736</v>
      </c>
      <c r="X39" s="59">
        <f>'School Rollup'!K39</f>
        <v>3445.4713392000003</v>
      </c>
      <c r="Y39" s="59">
        <f>'School Rollup'!L39</f>
        <v>3505.9182047999993</v>
      </c>
      <c r="Z39" s="59">
        <f>'School Rollup'!M39</f>
        <v>3566.3650703999997</v>
      </c>
      <c r="AA39" s="59">
        <f>'School Rollup'!N39</f>
        <v>3626.8119360000001</v>
      </c>
      <c r="AB39" s="59">
        <f>'School Rollup'!O39</f>
        <v>3687.2588016</v>
      </c>
      <c r="AC39"/>
      <c r="AD39" s="6">
        <f>CSO!E58</f>
        <v>3571.9074599999994</v>
      </c>
      <c r="AE39" s="6">
        <f>CSO!F58</f>
        <v>3643.3456091999997</v>
      </c>
      <c r="AF39" s="6">
        <f>CSO!G58</f>
        <v>3714.7837583999999</v>
      </c>
      <c r="AG39" s="6">
        <f>CSO!H58</f>
        <v>3786.2219075999997</v>
      </c>
      <c r="AH39" s="6">
        <f>CSO!I58</f>
        <v>3857.6600567999999</v>
      </c>
      <c r="AI39" s="6">
        <f>CSO!J58</f>
        <v>3929.0982060000001</v>
      </c>
      <c r="AJ39" s="6">
        <f>CSO!K58</f>
        <v>4000.5363551999999</v>
      </c>
      <c r="AK39" s="6">
        <f>CSO!L58</f>
        <v>4071.9745044000006</v>
      </c>
      <c r="AL39" s="6">
        <f>CSO!M58</f>
        <v>4143.4126535999994</v>
      </c>
      <c r="AM39" s="6">
        <f>CSO!N58</f>
        <v>4214.8508027999997</v>
      </c>
      <c r="AN39" s="6">
        <f>CSO!O58</f>
        <v>4286.2889519999999</v>
      </c>
      <c r="AO39" s="6">
        <f>CSO!P58</f>
        <v>4357.7271011999992</v>
      </c>
      <c r="AP39"/>
    </row>
    <row r="40" spans="1:42" s="2" customFormat="1" hidden="1" outlineLevel="1" x14ac:dyDescent="0.25">
      <c r="A40" s="18">
        <v>6227</v>
      </c>
      <c r="B40" s="18" t="s">
        <v>380</v>
      </c>
      <c r="D40" s="154">
        <f t="shared" si="27"/>
        <v>5973.08</v>
      </c>
      <c r="E40" s="154">
        <f t="shared" si="16"/>
        <v>7989.7415999999994</v>
      </c>
      <c r="F40" s="154">
        <f t="shared" si="17"/>
        <v>9307.0432000000001</v>
      </c>
      <c r="G40" s="154">
        <f t="shared" si="18"/>
        <v>10274.664799999999</v>
      </c>
      <c r="H40" s="154">
        <f t="shared" si="19"/>
        <v>10970.7264</v>
      </c>
      <c r="I40" s="154">
        <f t="shared" si="20"/>
        <v>11173.887999999999</v>
      </c>
      <c r="J40" s="154">
        <f t="shared" si="21"/>
        <v>11377.0496</v>
      </c>
      <c r="K40" s="154">
        <f t="shared" si="22"/>
        <v>11580.211200000002</v>
      </c>
      <c r="L40" s="154">
        <f t="shared" si="23"/>
        <v>11783.372799999997</v>
      </c>
      <c r="M40" s="154">
        <f t="shared" si="24"/>
        <v>11986.5344</v>
      </c>
      <c r="N40" s="154">
        <f t="shared" si="25"/>
        <v>12189.696</v>
      </c>
      <c r="O40" s="154">
        <f t="shared" si="26"/>
        <v>12392.857600000001</v>
      </c>
      <c r="Q40" s="59">
        <f>'School Rollup'!D40</f>
        <v>5973.08</v>
      </c>
      <c r="R40" s="59">
        <f>'School Rollup'!E40</f>
        <v>7989.7415999999994</v>
      </c>
      <c r="S40" s="59">
        <f>'School Rollup'!F40</f>
        <v>9307.0432000000001</v>
      </c>
      <c r="T40" s="59">
        <f>'School Rollup'!G40</f>
        <v>10274.664799999999</v>
      </c>
      <c r="U40" s="59">
        <f>'School Rollup'!H40</f>
        <v>10970.7264</v>
      </c>
      <c r="V40" s="59">
        <f>'School Rollup'!I40</f>
        <v>11173.887999999999</v>
      </c>
      <c r="W40" s="59">
        <f>'School Rollup'!J40</f>
        <v>11377.0496</v>
      </c>
      <c r="X40" s="59">
        <f>'School Rollup'!K40</f>
        <v>11580.211200000002</v>
      </c>
      <c r="Y40" s="59">
        <f>'School Rollup'!L40</f>
        <v>11783.372799999997</v>
      </c>
      <c r="Z40" s="59">
        <f>'School Rollup'!M40</f>
        <v>11986.5344</v>
      </c>
      <c r="AA40" s="59">
        <f>'School Rollup'!N40</f>
        <v>12189.696</v>
      </c>
      <c r="AB40" s="59">
        <f>'School Rollup'!O40</f>
        <v>12392.857600000001</v>
      </c>
      <c r="AC40"/>
      <c r="AD40" s="6">
        <f>CSO!E59</f>
        <v>0</v>
      </c>
      <c r="AE40" s="6">
        <f>CSO!F59</f>
        <v>0</v>
      </c>
      <c r="AF40" s="6">
        <f>CSO!G59</f>
        <v>0</v>
      </c>
      <c r="AG40" s="6">
        <f>CSO!H59</f>
        <v>0</v>
      </c>
      <c r="AH40" s="6">
        <f>CSO!I59</f>
        <v>0</v>
      </c>
      <c r="AI40" s="6">
        <f>CSO!J59</f>
        <v>0</v>
      </c>
      <c r="AJ40" s="6">
        <f>CSO!K59</f>
        <v>0</v>
      </c>
      <c r="AK40" s="6">
        <f>CSO!L59</f>
        <v>0</v>
      </c>
      <c r="AL40" s="6">
        <f>CSO!M59</f>
        <v>0</v>
      </c>
      <c r="AM40" s="6">
        <f>CSO!N59</f>
        <v>0</v>
      </c>
      <c r="AN40" s="6">
        <f>CSO!O59</f>
        <v>0</v>
      </c>
      <c r="AO40" s="6">
        <f>CSO!P59</f>
        <v>0</v>
      </c>
      <c r="AP40"/>
    </row>
    <row r="41" spans="1:42" s="2" customFormat="1" hidden="1" outlineLevel="2" x14ac:dyDescent="0.25">
      <c r="A41" s="18" t="s">
        <v>412</v>
      </c>
      <c r="B41" s="18" t="s">
        <v>420</v>
      </c>
      <c r="D41" s="154">
        <f t="shared" si="27"/>
        <v>9959.9948999999979</v>
      </c>
      <c r="E41" s="154">
        <f t="shared" si="16"/>
        <v>10684.670391</v>
      </c>
      <c r="F41" s="154">
        <f t="shared" si="17"/>
        <v>15887.336692500001</v>
      </c>
      <c r="G41" s="154">
        <f t="shared" si="18"/>
        <v>16192.862398124998</v>
      </c>
      <c r="H41" s="154">
        <f t="shared" si="19"/>
        <v>16498.38810375</v>
      </c>
      <c r="I41" s="154">
        <f t="shared" si="20"/>
        <v>16803.913809375001</v>
      </c>
      <c r="J41" s="154">
        <f t="shared" si="21"/>
        <v>17109.439515000002</v>
      </c>
      <c r="K41" s="154">
        <f t="shared" si="22"/>
        <v>22888.240004250005</v>
      </c>
      <c r="L41" s="154">
        <f t="shared" si="23"/>
        <v>28859.08522275</v>
      </c>
      <c r="M41" s="154">
        <f t="shared" si="24"/>
        <v>35021.975170499994</v>
      </c>
      <c r="N41" s="154">
        <f t="shared" si="25"/>
        <v>35615.567970000004</v>
      </c>
      <c r="O41" s="154">
        <f t="shared" si="26"/>
        <v>36209.160769499998</v>
      </c>
      <c r="Q41" s="59">
        <f>'School Rollup'!D41</f>
        <v>9959.9948999999979</v>
      </c>
      <c r="R41" s="59">
        <f>'School Rollup'!E41</f>
        <v>10684.670391</v>
      </c>
      <c r="S41" s="59">
        <f>'School Rollup'!F41</f>
        <v>15887.336692500001</v>
      </c>
      <c r="T41" s="59">
        <f>'School Rollup'!G41</f>
        <v>16192.862398124998</v>
      </c>
      <c r="U41" s="59">
        <f>'School Rollup'!H41</f>
        <v>16498.38810375</v>
      </c>
      <c r="V41" s="59">
        <f>'School Rollup'!I41</f>
        <v>16803.913809375001</v>
      </c>
      <c r="W41" s="59">
        <f>'School Rollup'!J41</f>
        <v>17109.439515000002</v>
      </c>
      <c r="X41" s="59">
        <f>'School Rollup'!K41</f>
        <v>22888.240004250005</v>
      </c>
      <c r="Y41" s="59">
        <f>'School Rollup'!L41</f>
        <v>28859.08522275</v>
      </c>
      <c r="Z41" s="59">
        <f>'School Rollup'!M41</f>
        <v>35021.975170499994</v>
      </c>
      <c r="AA41" s="59">
        <f>'School Rollup'!N41</f>
        <v>35615.567970000004</v>
      </c>
      <c r="AB41" s="59">
        <f>'School Rollup'!O41</f>
        <v>36209.160769499998</v>
      </c>
      <c r="AC41"/>
      <c r="AD41" s="6">
        <f>CSO!E60</f>
        <v>0</v>
      </c>
      <c r="AE41" s="6">
        <f>CSO!F60</f>
        <v>0</v>
      </c>
      <c r="AF41" s="6">
        <f>CSO!G60</f>
        <v>0</v>
      </c>
      <c r="AG41" s="6">
        <f>CSO!H60</f>
        <v>0</v>
      </c>
      <c r="AH41" s="6">
        <f>CSO!I60</f>
        <v>0</v>
      </c>
      <c r="AI41" s="6">
        <f>CSO!J60</f>
        <v>0</v>
      </c>
      <c r="AJ41" s="6">
        <f>CSO!K60</f>
        <v>0</v>
      </c>
      <c r="AK41" s="6">
        <f>CSO!L60</f>
        <v>0</v>
      </c>
      <c r="AL41" s="6">
        <f>CSO!M60</f>
        <v>0</v>
      </c>
      <c r="AM41" s="6">
        <f>CSO!N60</f>
        <v>0</v>
      </c>
      <c r="AN41" s="6">
        <f>CSO!O60</f>
        <v>0</v>
      </c>
      <c r="AO41" s="6">
        <f>CSO!P60</f>
        <v>0</v>
      </c>
      <c r="AP41"/>
    </row>
    <row r="42" spans="1:42" s="2" customFormat="1" hidden="1" outlineLevel="2" x14ac:dyDescent="0.25">
      <c r="A42" s="18" t="s">
        <v>413</v>
      </c>
      <c r="B42" s="18" t="s">
        <v>421</v>
      </c>
      <c r="D42" s="154">
        <f t="shared" si="27"/>
        <v>15225.980000000001</v>
      </c>
      <c r="E42" s="154">
        <f t="shared" si="16"/>
        <v>15946.495125000001</v>
      </c>
      <c r="F42" s="154">
        <f t="shared" si="17"/>
        <v>16259.171500000002</v>
      </c>
      <c r="G42" s="154">
        <f t="shared" si="18"/>
        <v>16571.847875000003</v>
      </c>
      <c r="H42" s="154">
        <f t="shared" si="19"/>
        <v>16884.524250000002</v>
      </c>
      <c r="I42" s="154">
        <f t="shared" si="20"/>
        <v>17197.200625000005</v>
      </c>
      <c r="J42" s="154">
        <f t="shared" si="21"/>
        <v>17509.877000000004</v>
      </c>
      <c r="K42" s="154">
        <f t="shared" si="22"/>
        <v>17822.553375000003</v>
      </c>
      <c r="L42" s="154">
        <f t="shared" si="23"/>
        <v>18135.229750000002</v>
      </c>
      <c r="M42" s="154">
        <f t="shared" si="24"/>
        <v>18447.906125000005</v>
      </c>
      <c r="N42" s="154">
        <f t="shared" si="25"/>
        <v>18760.582500000004</v>
      </c>
      <c r="O42" s="154">
        <f t="shared" si="26"/>
        <v>19073.258875000003</v>
      </c>
      <c r="Q42" s="59">
        <f>'School Rollup'!D42</f>
        <v>15225.980000000001</v>
      </c>
      <c r="R42" s="59">
        <f>'School Rollup'!E42</f>
        <v>15946.495125000001</v>
      </c>
      <c r="S42" s="59">
        <f>'School Rollup'!F42</f>
        <v>16259.171500000002</v>
      </c>
      <c r="T42" s="59">
        <f>'School Rollup'!G42</f>
        <v>16571.847875000003</v>
      </c>
      <c r="U42" s="59">
        <f>'School Rollup'!H42</f>
        <v>16884.524250000002</v>
      </c>
      <c r="V42" s="59">
        <f>'School Rollup'!I42</f>
        <v>17197.200625000005</v>
      </c>
      <c r="W42" s="59">
        <f>'School Rollup'!J42</f>
        <v>17509.877000000004</v>
      </c>
      <c r="X42" s="59">
        <f>'School Rollup'!K42</f>
        <v>17822.553375000003</v>
      </c>
      <c r="Y42" s="59">
        <f>'School Rollup'!L42</f>
        <v>18135.229750000002</v>
      </c>
      <c r="Z42" s="59">
        <f>'School Rollup'!M42</f>
        <v>18447.906125000005</v>
      </c>
      <c r="AA42" s="59">
        <f>'School Rollup'!N42</f>
        <v>18760.582500000004</v>
      </c>
      <c r="AB42" s="59">
        <f>'School Rollup'!O42</f>
        <v>19073.258875000003</v>
      </c>
      <c r="AC42"/>
      <c r="AD42" s="6">
        <f>CSO!E61</f>
        <v>0</v>
      </c>
      <c r="AE42" s="6">
        <f>CSO!F61</f>
        <v>0</v>
      </c>
      <c r="AF42" s="6">
        <f>CSO!G61</f>
        <v>0</v>
      </c>
      <c r="AG42" s="6">
        <f>CSO!H61</f>
        <v>0</v>
      </c>
      <c r="AH42" s="6">
        <f>CSO!I61</f>
        <v>0</v>
      </c>
      <c r="AI42" s="6">
        <f>CSO!J61</f>
        <v>0</v>
      </c>
      <c r="AJ42" s="6">
        <f>CSO!K61</f>
        <v>0</v>
      </c>
      <c r="AK42" s="6">
        <f>CSO!L61</f>
        <v>0</v>
      </c>
      <c r="AL42" s="6">
        <f>CSO!M61</f>
        <v>0</v>
      </c>
      <c r="AM42" s="6">
        <f>CSO!N61</f>
        <v>0</v>
      </c>
      <c r="AN42" s="6">
        <f>CSO!O61</f>
        <v>0</v>
      </c>
      <c r="AO42" s="6">
        <f>CSO!P61</f>
        <v>0</v>
      </c>
      <c r="AP42"/>
    </row>
    <row r="43" spans="1:42" s="2" customFormat="1" hidden="1" outlineLevel="1" x14ac:dyDescent="0.25">
      <c r="A43" s="18">
        <v>6231</v>
      </c>
      <c r="B43" s="18" t="s">
        <v>414</v>
      </c>
      <c r="D43" s="154">
        <f t="shared" si="27"/>
        <v>25185.974900000001</v>
      </c>
      <c r="E43" s="154">
        <f t="shared" si="16"/>
        <v>26631.165516000001</v>
      </c>
      <c r="F43" s="154">
        <f t="shared" si="17"/>
        <v>32146.508192500005</v>
      </c>
      <c r="G43" s="154">
        <f t="shared" si="18"/>
        <v>32764.710273125002</v>
      </c>
      <c r="H43" s="154">
        <f t="shared" si="19"/>
        <v>33382.912353750005</v>
      </c>
      <c r="I43" s="154">
        <f t="shared" si="20"/>
        <v>34001.114434375006</v>
      </c>
      <c r="J43" s="154">
        <f t="shared" si="21"/>
        <v>34619.316515000006</v>
      </c>
      <c r="K43" s="154">
        <f t="shared" si="22"/>
        <v>40710.793379250004</v>
      </c>
      <c r="L43" s="154">
        <f t="shared" si="23"/>
        <v>46994.314972749999</v>
      </c>
      <c r="M43" s="154">
        <f t="shared" si="24"/>
        <v>53469.881295500003</v>
      </c>
      <c r="N43" s="154">
        <f t="shared" si="25"/>
        <v>54376.150470000008</v>
      </c>
      <c r="O43" s="154">
        <f t="shared" si="26"/>
        <v>55282.419644500005</v>
      </c>
      <c r="Q43" s="59">
        <f>'School Rollup'!D43</f>
        <v>25185.974900000001</v>
      </c>
      <c r="R43" s="59">
        <f>'School Rollup'!E43</f>
        <v>26631.165516000001</v>
      </c>
      <c r="S43" s="59">
        <f>'School Rollup'!F43</f>
        <v>32146.508192500005</v>
      </c>
      <c r="T43" s="59">
        <f>'School Rollup'!G43</f>
        <v>32764.710273125002</v>
      </c>
      <c r="U43" s="59">
        <f>'School Rollup'!H43</f>
        <v>33382.912353750005</v>
      </c>
      <c r="V43" s="59">
        <f>'School Rollup'!I43</f>
        <v>34001.114434375006</v>
      </c>
      <c r="W43" s="59">
        <f>'School Rollup'!J43</f>
        <v>34619.316515000006</v>
      </c>
      <c r="X43" s="59">
        <f>'School Rollup'!K43</f>
        <v>40710.793379250004</v>
      </c>
      <c r="Y43" s="59">
        <f>'School Rollup'!L43</f>
        <v>46994.314972749999</v>
      </c>
      <c r="Z43" s="59">
        <f>'School Rollup'!M43</f>
        <v>53469.881295500003</v>
      </c>
      <c r="AA43" s="59">
        <f>'School Rollup'!N43</f>
        <v>54376.150470000008</v>
      </c>
      <c r="AB43" s="59">
        <f>'School Rollup'!O43</f>
        <v>55282.419644500005</v>
      </c>
      <c r="AC43"/>
      <c r="AD43" s="6">
        <f>CSO!E62</f>
        <v>0</v>
      </c>
      <c r="AE43" s="6">
        <f>CSO!F62</f>
        <v>0</v>
      </c>
      <c r="AF43" s="6">
        <f>CSO!G62</f>
        <v>0</v>
      </c>
      <c r="AG43" s="6">
        <f>CSO!H62</f>
        <v>0</v>
      </c>
      <c r="AH43" s="6">
        <f>CSO!I62</f>
        <v>0</v>
      </c>
      <c r="AI43" s="6">
        <f>CSO!J62</f>
        <v>0</v>
      </c>
      <c r="AJ43" s="6">
        <f>CSO!K62</f>
        <v>0</v>
      </c>
      <c r="AK43" s="6">
        <f>CSO!L62</f>
        <v>0</v>
      </c>
      <c r="AL43" s="6">
        <f>CSO!M62</f>
        <v>0</v>
      </c>
      <c r="AM43" s="6">
        <f>CSO!N62</f>
        <v>0</v>
      </c>
      <c r="AN43" s="6">
        <f>CSO!O62</f>
        <v>0</v>
      </c>
      <c r="AO43" s="6">
        <f>CSO!P62</f>
        <v>0</v>
      </c>
      <c r="AP43"/>
    </row>
    <row r="44" spans="1:42" s="2" customFormat="1" hidden="1" outlineLevel="2" x14ac:dyDescent="0.25">
      <c r="A44" s="18" t="s">
        <v>415</v>
      </c>
      <c r="B44" s="18" t="s">
        <v>498</v>
      </c>
      <c r="D44" s="154">
        <f t="shared" si="27"/>
        <v>0</v>
      </c>
      <c r="E44" s="154">
        <f t="shared" si="16"/>
        <v>0</v>
      </c>
      <c r="F44" s="154">
        <f t="shared" si="17"/>
        <v>0</v>
      </c>
      <c r="G44" s="154">
        <f t="shared" si="18"/>
        <v>0</v>
      </c>
      <c r="H44" s="154">
        <f t="shared" si="19"/>
        <v>0</v>
      </c>
      <c r="I44" s="154">
        <f t="shared" si="20"/>
        <v>0</v>
      </c>
      <c r="J44" s="154">
        <f t="shared" si="21"/>
        <v>0</v>
      </c>
      <c r="K44" s="154">
        <f t="shared" si="22"/>
        <v>0</v>
      </c>
      <c r="L44" s="154">
        <f t="shared" si="23"/>
        <v>0</v>
      </c>
      <c r="M44" s="154">
        <f t="shared" si="24"/>
        <v>0</v>
      </c>
      <c r="N44" s="154">
        <f t="shared" si="25"/>
        <v>0</v>
      </c>
      <c r="O44" s="154">
        <f t="shared" si="26"/>
        <v>0</v>
      </c>
      <c r="Q44" s="59">
        <f>'School Rollup'!D44</f>
        <v>0</v>
      </c>
      <c r="R44" s="59">
        <f>'School Rollup'!E44</f>
        <v>0</v>
      </c>
      <c r="S44" s="59">
        <f>'School Rollup'!F44</f>
        <v>0</v>
      </c>
      <c r="T44" s="59">
        <f>'School Rollup'!G44</f>
        <v>0</v>
      </c>
      <c r="U44" s="59">
        <f>'School Rollup'!H44</f>
        <v>0</v>
      </c>
      <c r="V44" s="59">
        <f>'School Rollup'!I44</f>
        <v>0</v>
      </c>
      <c r="W44" s="59">
        <f>'School Rollup'!J44</f>
        <v>0</v>
      </c>
      <c r="X44" s="59">
        <f>'School Rollup'!K44</f>
        <v>0</v>
      </c>
      <c r="Y44" s="59">
        <f>'School Rollup'!L44</f>
        <v>0</v>
      </c>
      <c r="Z44" s="59">
        <f>'School Rollup'!M44</f>
        <v>0</v>
      </c>
      <c r="AA44" s="59">
        <f>'School Rollup'!N44</f>
        <v>0</v>
      </c>
      <c r="AB44" s="59">
        <f>'School Rollup'!O44</f>
        <v>0</v>
      </c>
      <c r="AC44"/>
      <c r="AD44" s="6">
        <f>CSO!E63</f>
        <v>0</v>
      </c>
      <c r="AE44" s="6">
        <f>CSO!F63</f>
        <v>0</v>
      </c>
      <c r="AF44" s="6">
        <f>CSO!G63</f>
        <v>0</v>
      </c>
      <c r="AG44" s="6">
        <f>CSO!H63</f>
        <v>0</v>
      </c>
      <c r="AH44" s="6">
        <f>CSO!I63</f>
        <v>0</v>
      </c>
      <c r="AI44" s="6">
        <f>CSO!J63</f>
        <v>0</v>
      </c>
      <c r="AJ44" s="6">
        <f>CSO!K63</f>
        <v>0</v>
      </c>
      <c r="AK44" s="6">
        <f>CSO!L63</f>
        <v>0</v>
      </c>
      <c r="AL44" s="6">
        <f>CSO!M63</f>
        <v>0</v>
      </c>
      <c r="AM44" s="6">
        <f>CSO!N63</f>
        <v>0</v>
      </c>
      <c r="AN44" s="6">
        <f>CSO!O63</f>
        <v>0</v>
      </c>
      <c r="AO44" s="6">
        <f>CSO!P63</f>
        <v>0</v>
      </c>
      <c r="AP44"/>
    </row>
    <row r="45" spans="1:42" s="2" customFormat="1" hidden="1" outlineLevel="2" x14ac:dyDescent="0.25">
      <c r="A45" s="18" t="s">
        <v>416</v>
      </c>
      <c r="B45" s="18" t="s">
        <v>497</v>
      </c>
      <c r="D45" s="154">
        <f t="shared" si="27"/>
        <v>220089.66000000003</v>
      </c>
      <c r="E45" s="154">
        <f t="shared" si="16"/>
        <v>228544.04452500003</v>
      </c>
      <c r="F45" s="154">
        <f t="shared" si="17"/>
        <v>258153.11080000002</v>
      </c>
      <c r="G45" s="154">
        <f t="shared" si="18"/>
        <v>263117.59369999997</v>
      </c>
      <c r="H45" s="154">
        <f t="shared" si="19"/>
        <v>268082.07660000003</v>
      </c>
      <c r="I45" s="154">
        <f t="shared" si="20"/>
        <v>273046.55950000009</v>
      </c>
      <c r="J45" s="154">
        <f t="shared" si="21"/>
        <v>278011.04240000003</v>
      </c>
      <c r="K45" s="154">
        <f t="shared" si="22"/>
        <v>282975.5253000001</v>
      </c>
      <c r="L45" s="154">
        <f t="shared" si="23"/>
        <v>287940.00820000004</v>
      </c>
      <c r="M45" s="154">
        <f t="shared" si="24"/>
        <v>292904.49109999998</v>
      </c>
      <c r="N45" s="154">
        <f t="shared" si="25"/>
        <v>297868.97400000005</v>
      </c>
      <c r="O45" s="154">
        <f t="shared" si="26"/>
        <v>302833.45689999999</v>
      </c>
      <c r="Q45" s="59">
        <f>'School Rollup'!D45</f>
        <v>120423.66</v>
      </c>
      <c r="R45" s="59">
        <f>'School Rollup'!E45</f>
        <v>126122.27962500002</v>
      </c>
      <c r="S45" s="59">
        <f>'School Rollup'!F45</f>
        <v>153723.07600000003</v>
      </c>
      <c r="T45" s="59">
        <f>'School Rollup'!G45</f>
        <v>156679.28899999999</v>
      </c>
      <c r="U45" s="59">
        <f>'School Rollup'!H45</f>
        <v>159635.50200000004</v>
      </c>
      <c r="V45" s="59">
        <f>'School Rollup'!I45</f>
        <v>162591.71500000005</v>
      </c>
      <c r="W45" s="59">
        <f>'School Rollup'!J45</f>
        <v>165547.92800000004</v>
      </c>
      <c r="X45" s="59">
        <f>'School Rollup'!K45</f>
        <v>168504.14100000003</v>
      </c>
      <c r="Y45" s="59">
        <f>'School Rollup'!L45</f>
        <v>171460.35400000002</v>
      </c>
      <c r="Z45" s="59">
        <f>'School Rollup'!M45</f>
        <v>174416.56700000001</v>
      </c>
      <c r="AA45" s="59">
        <f>'School Rollup'!N45</f>
        <v>177372.78000000003</v>
      </c>
      <c r="AB45" s="59">
        <f>'School Rollup'!O45</f>
        <v>180328.99300000002</v>
      </c>
      <c r="AC45"/>
      <c r="AD45" s="6">
        <f>CSO!E64</f>
        <v>99666.000000000015</v>
      </c>
      <c r="AE45" s="6">
        <f>CSO!F64</f>
        <v>102421.76490000001</v>
      </c>
      <c r="AF45" s="6">
        <f>CSO!G64</f>
        <v>104430.03480000001</v>
      </c>
      <c r="AG45" s="6">
        <f>CSO!H64</f>
        <v>106438.30470000001</v>
      </c>
      <c r="AH45" s="6">
        <f>CSO!I64</f>
        <v>108446.57460000002</v>
      </c>
      <c r="AI45" s="6">
        <f>CSO!J64</f>
        <v>110454.84450000001</v>
      </c>
      <c r="AJ45" s="6">
        <f>CSO!K64</f>
        <v>112463.11440000001</v>
      </c>
      <c r="AK45" s="6">
        <f>CSO!L64</f>
        <v>114471.38430000003</v>
      </c>
      <c r="AL45" s="6">
        <f>CSO!M64</f>
        <v>116479.6542</v>
      </c>
      <c r="AM45" s="6">
        <f>CSO!N64</f>
        <v>118487.9241</v>
      </c>
      <c r="AN45" s="6">
        <f>CSO!O64</f>
        <v>120496.194</v>
      </c>
      <c r="AO45" s="6">
        <f>CSO!P64</f>
        <v>122504.4639</v>
      </c>
      <c r="AP45"/>
    </row>
    <row r="46" spans="1:42" s="2" customFormat="1" hidden="1" outlineLevel="1" x14ac:dyDescent="0.25">
      <c r="A46" s="18">
        <v>6234</v>
      </c>
      <c r="B46" s="18" t="s">
        <v>575</v>
      </c>
      <c r="D46" s="154">
        <f t="shared" si="27"/>
        <v>220089.66000000003</v>
      </c>
      <c r="E46" s="154">
        <f t="shared" si="16"/>
        <v>228544.04452500003</v>
      </c>
      <c r="F46" s="154">
        <f t="shared" si="17"/>
        <v>258153.11080000002</v>
      </c>
      <c r="G46" s="154">
        <f t="shared" si="18"/>
        <v>263117.59369999997</v>
      </c>
      <c r="H46" s="154">
        <f t="shared" si="19"/>
        <v>268082.07660000003</v>
      </c>
      <c r="I46" s="154">
        <f t="shared" si="20"/>
        <v>273046.55950000009</v>
      </c>
      <c r="J46" s="154">
        <f t="shared" si="21"/>
        <v>278011.04240000003</v>
      </c>
      <c r="K46" s="154">
        <f t="shared" si="22"/>
        <v>282975.5253000001</v>
      </c>
      <c r="L46" s="154">
        <f t="shared" si="23"/>
        <v>287940.00820000004</v>
      </c>
      <c r="M46" s="154">
        <f t="shared" si="24"/>
        <v>292904.49109999998</v>
      </c>
      <c r="N46" s="154">
        <f t="shared" si="25"/>
        <v>297868.97400000005</v>
      </c>
      <c r="O46" s="154">
        <f t="shared" si="26"/>
        <v>302833.45689999999</v>
      </c>
      <c r="Q46" s="59">
        <f>'School Rollup'!D46</f>
        <v>120423.66</v>
      </c>
      <c r="R46" s="59">
        <f>'School Rollup'!E46</f>
        <v>126122.27962500002</v>
      </c>
      <c r="S46" s="59">
        <f>'School Rollup'!F46</f>
        <v>153723.07600000003</v>
      </c>
      <c r="T46" s="59">
        <f>'School Rollup'!G46</f>
        <v>156679.28899999999</v>
      </c>
      <c r="U46" s="59">
        <f>'School Rollup'!H46</f>
        <v>159635.50200000004</v>
      </c>
      <c r="V46" s="59">
        <f>'School Rollup'!I46</f>
        <v>162591.71500000005</v>
      </c>
      <c r="W46" s="59">
        <f>'School Rollup'!J46</f>
        <v>165547.92800000004</v>
      </c>
      <c r="X46" s="59">
        <f>'School Rollup'!K46</f>
        <v>168504.14100000003</v>
      </c>
      <c r="Y46" s="59">
        <f>'School Rollup'!L46</f>
        <v>171460.35400000002</v>
      </c>
      <c r="Z46" s="59">
        <f>'School Rollup'!M46</f>
        <v>174416.56700000001</v>
      </c>
      <c r="AA46" s="59">
        <f>'School Rollup'!N46</f>
        <v>177372.78000000003</v>
      </c>
      <c r="AB46" s="59">
        <f>'School Rollup'!O46</f>
        <v>180328.99300000002</v>
      </c>
      <c r="AC46"/>
      <c r="AD46" s="6">
        <f>CSO!E65</f>
        <v>99666.000000000015</v>
      </c>
      <c r="AE46" s="6">
        <f>CSO!F65</f>
        <v>102421.76490000001</v>
      </c>
      <c r="AF46" s="6">
        <f>CSO!G65</f>
        <v>104430.03480000001</v>
      </c>
      <c r="AG46" s="6">
        <f>CSO!H65</f>
        <v>106438.30470000001</v>
      </c>
      <c r="AH46" s="6">
        <f>CSO!I65</f>
        <v>108446.57460000002</v>
      </c>
      <c r="AI46" s="6">
        <f>CSO!J65</f>
        <v>110454.84450000001</v>
      </c>
      <c r="AJ46" s="6">
        <f>CSO!K65</f>
        <v>112463.11440000001</v>
      </c>
      <c r="AK46" s="6">
        <f>CSO!L65</f>
        <v>114471.38430000003</v>
      </c>
      <c r="AL46" s="6">
        <f>CSO!M65</f>
        <v>116479.6542</v>
      </c>
      <c r="AM46" s="6">
        <f>CSO!N65</f>
        <v>118487.9241</v>
      </c>
      <c r="AN46" s="6">
        <f>CSO!O65</f>
        <v>120496.194</v>
      </c>
      <c r="AO46" s="6">
        <f>CSO!P65</f>
        <v>122504.4639</v>
      </c>
      <c r="AP46"/>
    </row>
    <row r="47" spans="1:42" s="2" customFormat="1" hidden="1" outlineLevel="2" x14ac:dyDescent="0.25">
      <c r="A47" s="18" t="s">
        <v>418</v>
      </c>
      <c r="B47" s="18" t="s">
        <v>495</v>
      </c>
      <c r="D47" s="154">
        <f t="shared" si="27"/>
        <v>49799.974499999997</v>
      </c>
      <c r="E47" s="154">
        <f t="shared" si="16"/>
        <v>66321.734246954991</v>
      </c>
      <c r="F47" s="154">
        <f t="shared" si="17"/>
        <v>67622.160408660013</v>
      </c>
      <c r="G47" s="154">
        <f t="shared" si="18"/>
        <v>76325.037952365004</v>
      </c>
      <c r="H47" s="154">
        <f t="shared" si="19"/>
        <v>77765.133008069999</v>
      </c>
      <c r="I47" s="154">
        <f t="shared" si="20"/>
        <v>79205.228063775008</v>
      </c>
      <c r="J47" s="154">
        <f t="shared" si="21"/>
        <v>80645.323119480017</v>
      </c>
      <c r="K47" s="154">
        <f t="shared" si="22"/>
        <v>82085.418175185012</v>
      </c>
      <c r="L47" s="154">
        <f t="shared" si="23"/>
        <v>83525.513230890007</v>
      </c>
      <c r="M47" s="154">
        <f t="shared" si="24"/>
        <v>84965.608286595001</v>
      </c>
      <c r="N47" s="154">
        <f t="shared" si="25"/>
        <v>86405.703342299996</v>
      </c>
      <c r="O47" s="154">
        <f t="shared" si="26"/>
        <v>87845.798398005005</v>
      </c>
      <c r="Q47" s="59">
        <f>'School Rollup'!D47</f>
        <v>19919.989799999999</v>
      </c>
      <c r="R47" s="59">
        <f>'School Rollup'!E47</f>
        <v>35615.567969999996</v>
      </c>
      <c r="S47" s="59">
        <f>'School Rollup'!F47</f>
        <v>36313.91244</v>
      </c>
      <c r="T47" s="59">
        <f>'School Rollup'!G47</f>
        <v>44414.708291999996</v>
      </c>
      <c r="U47" s="59">
        <f>'School Rollup'!H47</f>
        <v>45252.721656000002</v>
      </c>
      <c r="V47" s="59">
        <f>'School Rollup'!I47</f>
        <v>46090.735020000007</v>
      </c>
      <c r="W47" s="59">
        <f>'School Rollup'!J47</f>
        <v>46928.748384000006</v>
      </c>
      <c r="X47" s="59">
        <f>'School Rollup'!K47</f>
        <v>47766.761748000004</v>
      </c>
      <c r="Y47" s="59">
        <f>'School Rollup'!L47</f>
        <v>48604.775112000003</v>
      </c>
      <c r="Z47" s="59">
        <f>'School Rollup'!M47</f>
        <v>49442.788475999994</v>
      </c>
      <c r="AA47" s="59">
        <f>'School Rollup'!N47</f>
        <v>50280.80184</v>
      </c>
      <c r="AB47" s="59">
        <f>'School Rollup'!O47</f>
        <v>51118.815204000006</v>
      </c>
      <c r="AC47"/>
      <c r="AD47" s="6">
        <f>CSO!E66</f>
        <v>29879.984700000001</v>
      </c>
      <c r="AE47" s="6">
        <f>CSO!F66</f>
        <v>30706.166276955002</v>
      </c>
      <c r="AF47" s="6">
        <f>CSO!G66</f>
        <v>31308.247968660005</v>
      </c>
      <c r="AG47" s="6">
        <f>CSO!H66</f>
        <v>31910.329660365001</v>
      </c>
      <c r="AH47" s="6">
        <f>CSO!I66</f>
        <v>32512.411352070001</v>
      </c>
      <c r="AI47" s="6">
        <f>CSO!J66</f>
        <v>33114.493043775001</v>
      </c>
      <c r="AJ47" s="6">
        <f>CSO!K66</f>
        <v>33716.574735480004</v>
      </c>
      <c r="AK47" s="6">
        <f>CSO!L66</f>
        <v>34318.656427185007</v>
      </c>
      <c r="AL47" s="6">
        <f>CSO!M66</f>
        <v>34920.738118890004</v>
      </c>
      <c r="AM47" s="6">
        <f>CSO!N66</f>
        <v>35522.819810595</v>
      </c>
      <c r="AN47" s="6">
        <f>CSO!O66</f>
        <v>36124.901502300003</v>
      </c>
      <c r="AO47" s="6">
        <f>CSO!P66</f>
        <v>36726.983194004999</v>
      </c>
      <c r="AP47"/>
    </row>
    <row r="48" spans="1:42" s="2" customFormat="1" hidden="1" outlineLevel="2" x14ac:dyDescent="0.25">
      <c r="A48" s="18" t="s">
        <v>419</v>
      </c>
      <c r="B48" s="18" t="s">
        <v>496</v>
      </c>
      <c r="D48" s="154">
        <f t="shared" si="27"/>
        <v>33222</v>
      </c>
      <c r="E48" s="154">
        <f t="shared" si="16"/>
        <v>34140.588300000003</v>
      </c>
      <c r="F48" s="154">
        <f t="shared" si="17"/>
        <v>34810.011600000005</v>
      </c>
      <c r="G48" s="154">
        <f t="shared" si="18"/>
        <v>35479.4349</v>
      </c>
      <c r="H48" s="154">
        <f t="shared" si="19"/>
        <v>36148.85820000001</v>
      </c>
      <c r="I48" s="154">
        <f t="shared" si="20"/>
        <v>36818.281500000005</v>
      </c>
      <c r="J48" s="154">
        <f t="shared" si="21"/>
        <v>37487.7048</v>
      </c>
      <c r="K48" s="154">
        <f t="shared" si="22"/>
        <v>38157.128100000009</v>
      </c>
      <c r="L48" s="154">
        <f t="shared" si="23"/>
        <v>38826.551400000004</v>
      </c>
      <c r="M48" s="154">
        <f t="shared" si="24"/>
        <v>39495.974699999999</v>
      </c>
      <c r="N48" s="154">
        <f t="shared" si="25"/>
        <v>40165.398000000001</v>
      </c>
      <c r="O48" s="154">
        <f t="shared" si="26"/>
        <v>40834.821300000003</v>
      </c>
      <c r="Q48" s="59">
        <f>'School Rollup'!D48</f>
        <v>0</v>
      </c>
      <c r="R48" s="59">
        <f>'School Rollup'!E48</f>
        <v>0</v>
      </c>
      <c r="S48" s="59">
        <f>'School Rollup'!F48</f>
        <v>0</v>
      </c>
      <c r="T48" s="59">
        <f>'School Rollup'!G48</f>
        <v>0</v>
      </c>
      <c r="U48" s="59">
        <f>'School Rollup'!H48</f>
        <v>0</v>
      </c>
      <c r="V48" s="59">
        <f>'School Rollup'!I48</f>
        <v>0</v>
      </c>
      <c r="W48" s="59">
        <f>'School Rollup'!J48</f>
        <v>0</v>
      </c>
      <c r="X48" s="59">
        <f>'School Rollup'!K48</f>
        <v>0</v>
      </c>
      <c r="Y48" s="59">
        <f>'School Rollup'!L48</f>
        <v>0</v>
      </c>
      <c r="Z48" s="59">
        <f>'School Rollup'!M48</f>
        <v>0</v>
      </c>
      <c r="AA48" s="59">
        <f>'School Rollup'!N48</f>
        <v>0</v>
      </c>
      <c r="AB48" s="59">
        <f>'School Rollup'!O48</f>
        <v>0</v>
      </c>
      <c r="AC48"/>
      <c r="AD48" s="6">
        <f>CSO!E67</f>
        <v>33222</v>
      </c>
      <c r="AE48" s="6">
        <f>CSO!F67</f>
        <v>34140.588300000003</v>
      </c>
      <c r="AF48" s="6">
        <f>CSO!G67</f>
        <v>34810.011600000005</v>
      </c>
      <c r="AG48" s="6">
        <f>CSO!H67</f>
        <v>35479.4349</v>
      </c>
      <c r="AH48" s="6">
        <f>CSO!I67</f>
        <v>36148.85820000001</v>
      </c>
      <c r="AI48" s="6">
        <f>CSO!J67</f>
        <v>36818.281500000005</v>
      </c>
      <c r="AJ48" s="6">
        <f>CSO!K67</f>
        <v>37487.7048</v>
      </c>
      <c r="AK48" s="6">
        <f>CSO!L67</f>
        <v>38157.128100000009</v>
      </c>
      <c r="AL48" s="6">
        <f>CSO!M67</f>
        <v>38826.551400000004</v>
      </c>
      <c r="AM48" s="6">
        <f>CSO!N67</f>
        <v>39495.974699999999</v>
      </c>
      <c r="AN48" s="6">
        <f>CSO!O67</f>
        <v>40165.398000000001</v>
      </c>
      <c r="AO48" s="6">
        <f>CSO!P67</f>
        <v>40834.821300000003</v>
      </c>
      <c r="AP48"/>
    </row>
    <row r="49" spans="1:42" s="2" customFormat="1" hidden="1" outlineLevel="1" x14ac:dyDescent="0.25">
      <c r="A49" s="18">
        <v>6237</v>
      </c>
      <c r="B49" s="18" t="s">
        <v>425</v>
      </c>
      <c r="D49" s="154">
        <f t="shared" si="27"/>
        <v>83021.974499999997</v>
      </c>
      <c r="E49" s="154">
        <f t="shared" si="16"/>
        <v>100462.32254695499</v>
      </c>
      <c r="F49" s="154">
        <f t="shared" si="17"/>
        <v>102432.17200866001</v>
      </c>
      <c r="G49" s="154">
        <f t="shared" si="18"/>
        <v>111804.472852365</v>
      </c>
      <c r="H49" s="154">
        <f t="shared" si="19"/>
        <v>113913.99120807002</v>
      </c>
      <c r="I49" s="154">
        <f t="shared" si="20"/>
        <v>116023.50956377502</v>
      </c>
      <c r="J49" s="154">
        <f t="shared" si="21"/>
        <v>118133.02791948001</v>
      </c>
      <c r="K49" s="154">
        <f t="shared" si="22"/>
        <v>120242.54627518503</v>
      </c>
      <c r="L49" s="154">
        <f t="shared" si="23"/>
        <v>122352.06463089</v>
      </c>
      <c r="M49" s="154">
        <f t="shared" si="24"/>
        <v>124461.58298659499</v>
      </c>
      <c r="N49" s="154">
        <f t="shared" si="25"/>
        <v>126571.10134230001</v>
      </c>
      <c r="O49" s="154">
        <f t="shared" si="26"/>
        <v>128680.619698005</v>
      </c>
      <c r="Q49" s="59">
        <f>'School Rollup'!D49</f>
        <v>19919.989799999999</v>
      </c>
      <c r="R49" s="59">
        <f>'School Rollup'!E49</f>
        <v>35615.567969999996</v>
      </c>
      <c r="S49" s="59">
        <f>'School Rollup'!F49</f>
        <v>36313.91244</v>
      </c>
      <c r="T49" s="59">
        <f>'School Rollup'!G49</f>
        <v>44414.708291999996</v>
      </c>
      <c r="U49" s="59">
        <f>'School Rollup'!H49</f>
        <v>45252.721656000002</v>
      </c>
      <c r="V49" s="59">
        <f>'School Rollup'!I49</f>
        <v>46090.735020000007</v>
      </c>
      <c r="W49" s="59">
        <f>'School Rollup'!J49</f>
        <v>46928.748384000006</v>
      </c>
      <c r="X49" s="59">
        <f>'School Rollup'!K49</f>
        <v>47766.761748000004</v>
      </c>
      <c r="Y49" s="59">
        <f>'School Rollup'!L49</f>
        <v>48604.775112000003</v>
      </c>
      <c r="Z49" s="59">
        <f>'School Rollup'!M49</f>
        <v>49442.788475999994</v>
      </c>
      <c r="AA49" s="59">
        <f>'School Rollup'!N49</f>
        <v>50280.80184</v>
      </c>
      <c r="AB49" s="59">
        <f>'School Rollup'!O49</f>
        <v>51118.815204000006</v>
      </c>
      <c r="AC49"/>
      <c r="AD49" s="6">
        <f>CSO!E68</f>
        <v>63101.984700000001</v>
      </c>
      <c r="AE49" s="6">
        <f>CSO!F68</f>
        <v>64846.754576955005</v>
      </c>
      <c r="AF49" s="6">
        <f>CSO!G68</f>
        <v>66118.259568660011</v>
      </c>
      <c r="AG49" s="6">
        <f>CSO!H68</f>
        <v>67389.764560365002</v>
      </c>
      <c r="AH49" s="6">
        <f>CSO!I68</f>
        <v>68661.269552070007</v>
      </c>
      <c r="AI49" s="6">
        <f>CSO!J68</f>
        <v>69932.774543775013</v>
      </c>
      <c r="AJ49" s="6">
        <f>CSO!K68</f>
        <v>71204.279535480004</v>
      </c>
      <c r="AK49" s="6">
        <f>CSO!L68</f>
        <v>72475.784527185024</v>
      </c>
      <c r="AL49" s="6">
        <f>CSO!M68</f>
        <v>73747.28951889</v>
      </c>
      <c r="AM49" s="6">
        <f>CSO!N68</f>
        <v>75018.794510595006</v>
      </c>
      <c r="AN49" s="6">
        <f>CSO!O68</f>
        <v>76290.299502300011</v>
      </c>
      <c r="AO49" s="6">
        <f>CSO!P68</f>
        <v>77561.804494005002</v>
      </c>
      <c r="AP49"/>
    </row>
    <row r="50" spans="1:42" s="2" customFormat="1" hidden="1" outlineLevel="1" x14ac:dyDescent="0.25">
      <c r="A50" s="18">
        <v>6241</v>
      </c>
      <c r="B50" s="18" t="s">
        <v>383</v>
      </c>
      <c r="D50" s="154">
        <f t="shared" si="27"/>
        <v>1784.48774</v>
      </c>
      <c r="E50" s="154">
        <f t="shared" si="16"/>
        <v>1820.1774948000002</v>
      </c>
      <c r="F50" s="154">
        <f t="shared" si="17"/>
        <v>2330.6270065000003</v>
      </c>
      <c r="G50" s="154">
        <f t="shared" si="18"/>
        <v>2375.446756625</v>
      </c>
      <c r="H50" s="154">
        <f t="shared" si="19"/>
        <v>2420.2665067500002</v>
      </c>
      <c r="I50" s="154">
        <f t="shared" si="20"/>
        <v>2465.0862568750003</v>
      </c>
      <c r="J50" s="154">
        <f t="shared" si="21"/>
        <v>2509.9060070000005</v>
      </c>
      <c r="K50" s="154">
        <f t="shared" si="22"/>
        <v>3075.135490650001</v>
      </c>
      <c r="L50" s="154">
        <f t="shared" si="23"/>
        <v>3658.6249649499996</v>
      </c>
      <c r="M50" s="154">
        <f t="shared" si="24"/>
        <v>4260.3744299000009</v>
      </c>
      <c r="N50" s="154">
        <f t="shared" si="25"/>
        <v>4332.5841660000015</v>
      </c>
      <c r="O50" s="154">
        <f t="shared" si="26"/>
        <v>4404.7939021000011</v>
      </c>
      <c r="Q50" s="59">
        <f>'School Rollup'!D50</f>
        <v>1784.48774</v>
      </c>
      <c r="R50" s="59">
        <f>'School Rollup'!E50</f>
        <v>1820.1774948000002</v>
      </c>
      <c r="S50" s="59">
        <f>'School Rollup'!F50</f>
        <v>2330.6270065000003</v>
      </c>
      <c r="T50" s="59">
        <f>'School Rollup'!G50</f>
        <v>2375.446756625</v>
      </c>
      <c r="U50" s="59">
        <f>'School Rollup'!H50</f>
        <v>2420.2665067500002</v>
      </c>
      <c r="V50" s="59">
        <f>'School Rollup'!I50</f>
        <v>2465.0862568750003</v>
      </c>
      <c r="W50" s="59">
        <f>'School Rollup'!J50</f>
        <v>2509.9060070000005</v>
      </c>
      <c r="X50" s="59">
        <f>'School Rollup'!K50</f>
        <v>3075.135490650001</v>
      </c>
      <c r="Y50" s="59">
        <f>'School Rollup'!L50</f>
        <v>3658.6249649499996</v>
      </c>
      <c r="Z50" s="59">
        <f>'School Rollup'!M50</f>
        <v>4260.3744299000009</v>
      </c>
      <c r="AA50" s="59">
        <f>'School Rollup'!N50</f>
        <v>4332.5841660000015</v>
      </c>
      <c r="AB50" s="59">
        <f>'School Rollup'!O50</f>
        <v>4404.7939021000011</v>
      </c>
      <c r="AC50"/>
      <c r="AD50" s="6">
        <f>CSO!E69</f>
        <v>0</v>
      </c>
      <c r="AE50" s="6">
        <f>CSO!F69</f>
        <v>0</v>
      </c>
      <c r="AF50" s="6">
        <f>CSO!G69</f>
        <v>0</v>
      </c>
      <c r="AG50" s="6">
        <f>CSO!H69</f>
        <v>0</v>
      </c>
      <c r="AH50" s="6">
        <f>CSO!I69</f>
        <v>0</v>
      </c>
      <c r="AI50" s="6">
        <f>CSO!J69</f>
        <v>0</v>
      </c>
      <c r="AJ50" s="6">
        <f>CSO!K69</f>
        <v>0</v>
      </c>
      <c r="AK50" s="6">
        <f>CSO!L69</f>
        <v>0</v>
      </c>
      <c r="AL50" s="6">
        <f>CSO!M69</f>
        <v>0</v>
      </c>
      <c r="AM50" s="6">
        <f>CSO!N69</f>
        <v>0</v>
      </c>
      <c r="AN50" s="6">
        <f>CSO!O69</f>
        <v>0</v>
      </c>
      <c r="AO50" s="6">
        <f>CSO!P69</f>
        <v>0</v>
      </c>
      <c r="AP50"/>
    </row>
    <row r="51" spans="1:42" s="2" customFormat="1" hidden="1" outlineLevel="1" x14ac:dyDescent="0.25">
      <c r="A51" s="18">
        <v>6244</v>
      </c>
      <c r="B51" s="18" t="s">
        <v>384</v>
      </c>
      <c r="D51" s="154">
        <f t="shared" si="27"/>
        <v>11397.500250000001</v>
      </c>
      <c r="E51" s="154">
        <f t="shared" si="16"/>
        <v>11625.450255</v>
      </c>
      <c r="F51" s="154">
        <f t="shared" si="17"/>
        <v>13120.715920000002</v>
      </c>
      <c r="G51" s="154">
        <f t="shared" si="18"/>
        <v>13373.037379999998</v>
      </c>
      <c r="H51" s="154">
        <f t="shared" si="19"/>
        <v>13625.358840000003</v>
      </c>
      <c r="I51" s="154">
        <f t="shared" si="20"/>
        <v>13877.680300000002</v>
      </c>
      <c r="J51" s="154">
        <f t="shared" si="21"/>
        <v>14130.001760000003</v>
      </c>
      <c r="K51" s="154">
        <f t="shared" si="22"/>
        <v>14382.323220000002</v>
      </c>
      <c r="L51" s="154">
        <f t="shared" si="23"/>
        <v>14634.644680000001</v>
      </c>
      <c r="M51" s="154">
        <f t="shared" si="24"/>
        <v>14886.96614</v>
      </c>
      <c r="N51" s="154">
        <f t="shared" si="25"/>
        <v>15139.287600000001</v>
      </c>
      <c r="O51" s="154">
        <f t="shared" si="26"/>
        <v>15391.609060000003</v>
      </c>
      <c r="Q51" s="59">
        <f>'School Rollup'!D51</f>
        <v>6236.2252500000004</v>
      </c>
      <c r="R51" s="59">
        <f>'School Rollup'!E51</f>
        <v>6360.9497550000006</v>
      </c>
      <c r="S51" s="59">
        <f>'School Rollup'!F51</f>
        <v>7752.9899200000009</v>
      </c>
      <c r="T51" s="59">
        <f>'School Rollup'!G51</f>
        <v>7902.0858799999987</v>
      </c>
      <c r="U51" s="59">
        <f>'School Rollup'!H51</f>
        <v>8051.1818400000011</v>
      </c>
      <c r="V51" s="59">
        <f>'School Rollup'!I51</f>
        <v>8200.2778000000017</v>
      </c>
      <c r="W51" s="59">
        <f>'School Rollup'!J51</f>
        <v>8349.3737600000022</v>
      </c>
      <c r="X51" s="59">
        <f>'School Rollup'!K51</f>
        <v>8498.469720000001</v>
      </c>
      <c r="Y51" s="59">
        <f>'School Rollup'!L51</f>
        <v>8647.5656800000015</v>
      </c>
      <c r="Z51" s="59">
        <f>'School Rollup'!M51</f>
        <v>8796.6616400000003</v>
      </c>
      <c r="AA51" s="59">
        <f>'School Rollup'!N51</f>
        <v>8945.7576000000008</v>
      </c>
      <c r="AB51" s="59">
        <f>'School Rollup'!O51</f>
        <v>9094.8535600000014</v>
      </c>
      <c r="AC51"/>
      <c r="AD51" s="6">
        <f>CSO!E70</f>
        <v>5161.2750000000005</v>
      </c>
      <c r="AE51" s="6">
        <f>CSO!F70</f>
        <v>5264.5005000000001</v>
      </c>
      <c r="AF51" s="6">
        <f>CSO!G70</f>
        <v>5367.7260000000006</v>
      </c>
      <c r="AG51" s="6">
        <f>CSO!H70</f>
        <v>5470.9515000000001</v>
      </c>
      <c r="AH51" s="6">
        <f>CSO!I70</f>
        <v>5574.1770000000015</v>
      </c>
      <c r="AI51" s="6">
        <f>CSO!J70</f>
        <v>5677.4025000000001</v>
      </c>
      <c r="AJ51" s="6">
        <f>CSO!K70</f>
        <v>5780.6280000000006</v>
      </c>
      <c r="AK51" s="6">
        <f>CSO!L70</f>
        <v>5883.853500000002</v>
      </c>
      <c r="AL51" s="6">
        <f>CSO!M70</f>
        <v>5987.0790000000006</v>
      </c>
      <c r="AM51" s="6">
        <f>CSO!N70</f>
        <v>6090.3045000000002</v>
      </c>
      <c r="AN51" s="6">
        <f>CSO!O70</f>
        <v>6193.5300000000007</v>
      </c>
      <c r="AO51" s="6">
        <f>CSO!P70</f>
        <v>6296.7555000000002</v>
      </c>
      <c r="AP51"/>
    </row>
    <row r="52" spans="1:42" s="2" customFormat="1" hidden="1" outlineLevel="1" x14ac:dyDescent="0.25">
      <c r="A52" s="18">
        <v>6247</v>
      </c>
      <c r="B52" s="18" t="s">
        <v>385</v>
      </c>
      <c r="D52" s="154">
        <f t="shared" si="27"/>
        <v>8097.3524500000003</v>
      </c>
      <c r="E52" s="154">
        <f t="shared" si="16"/>
        <v>10057.5588054</v>
      </c>
      <c r="F52" s="154">
        <f t="shared" si="17"/>
        <v>10526.205840800001</v>
      </c>
      <c r="G52" s="154">
        <f t="shared" si="18"/>
        <v>11616.912515800001</v>
      </c>
      <c r="H52" s="154">
        <f t="shared" si="19"/>
        <v>11953.549544400001</v>
      </c>
      <c r="I52" s="154">
        <f t="shared" si="20"/>
        <v>12174.911573000001</v>
      </c>
      <c r="J52" s="154">
        <f t="shared" si="21"/>
        <v>12396.273601600002</v>
      </c>
      <c r="K52" s="154">
        <f t="shared" si="22"/>
        <v>12617.635630200002</v>
      </c>
      <c r="L52" s="154">
        <f t="shared" si="23"/>
        <v>12838.997658800001</v>
      </c>
      <c r="M52" s="154">
        <f t="shared" si="24"/>
        <v>13060.3596874</v>
      </c>
      <c r="N52" s="154">
        <f t="shared" si="25"/>
        <v>13281.721716</v>
      </c>
      <c r="O52" s="154">
        <f t="shared" si="26"/>
        <v>13503.083744600001</v>
      </c>
      <c r="Q52" s="59">
        <f>'School Rollup'!D52</f>
        <v>3388.9289800000001</v>
      </c>
      <c r="R52" s="59">
        <f>'School Rollup'!E52</f>
        <v>5254.9668660000007</v>
      </c>
      <c r="S52" s="59">
        <f>'School Rollup'!F52</f>
        <v>5629.4454319999995</v>
      </c>
      <c r="T52" s="59">
        <f>'School Rollup'!G52</f>
        <v>6625.9836376000003</v>
      </c>
      <c r="U52" s="59">
        <f>'School Rollup'!H52</f>
        <v>6868.4521967999999</v>
      </c>
      <c r="V52" s="59">
        <f>'School Rollup'!I52</f>
        <v>6995.6457559999999</v>
      </c>
      <c r="W52" s="59">
        <f>'School Rollup'!J52</f>
        <v>7122.8393152000017</v>
      </c>
      <c r="X52" s="59">
        <f>'School Rollup'!K52</f>
        <v>7250.0328744000017</v>
      </c>
      <c r="Y52" s="59">
        <f>'School Rollup'!L52</f>
        <v>7377.2264336000007</v>
      </c>
      <c r="Z52" s="59">
        <f>'School Rollup'!M52</f>
        <v>7504.4199927999998</v>
      </c>
      <c r="AA52" s="59">
        <f>'School Rollup'!N52</f>
        <v>7631.6135519999998</v>
      </c>
      <c r="AB52" s="59">
        <f>'School Rollup'!O52</f>
        <v>7758.8071112000016</v>
      </c>
      <c r="AC52"/>
      <c r="AD52" s="6">
        <f>CSO!E71</f>
        <v>4708.4234699999997</v>
      </c>
      <c r="AE52" s="6">
        <f>CSO!F71</f>
        <v>4802.5919394000002</v>
      </c>
      <c r="AF52" s="6">
        <f>CSO!G71</f>
        <v>4896.7604088000007</v>
      </c>
      <c r="AG52" s="6">
        <f>CSO!H71</f>
        <v>4990.9288782000003</v>
      </c>
      <c r="AH52" s="6">
        <f>CSO!I71</f>
        <v>5085.0973475999999</v>
      </c>
      <c r="AI52" s="6">
        <f>CSO!J71</f>
        <v>5179.2658170000013</v>
      </c>
      <c r="AJ52" s="6">
        <f>CSO!K71</f>
        <v>5273.4342864000009</v>
      </c>
      <c r="AK52" s="6">
        <f>CSO!L71</f>
        <v>5367.6027558000014</v>
      </c>
      <c r="AL52" s="6">
        <f>CSO!M71</f>
        <v>5461.7712252000001</v>
      </c>
      <c r="AM52" s="6">
        <f>CSO!N71</f>
        <v>5555.9396946000006</v>
      </c>
      <c r="AN52" s="6">
        <f>CSO!O71</f>
        <v>5650.1081640000002</v>
      </c>
      <c r="AO52" s="6">
        <f>CSO!P71</f>
        <v>5744.2766333999998</v>
      </c>
      <c r="AP52"/>
    </row>
    <row r="53" spans="1:42" s="2" customFormat="1" hidden="1" outlineLevel="1" x14ac:dyDescent="0.25">
      <c r="A53" s="18">
        <v>6261</v>
      </c>
      <c r="B53" s="18" t="s">
        <v>386</v>
      </c>
      <c r="D53" s="154">
        <f t="shared" si="27"/>
        <v>1230.6812</v>
      </c>
      <c r="E53" s="154">
        <f t="shared" si="16"/>
        <v>1255.2948240000001</v>
      </c>
      <c r="F53" s="154">
        <f t="shared" si="17"/>
        <v>1607.32897</v>
      </c>
      <c r="G53" s="154">
        <f t="shared" si="18"/>
        <v>1638.2391425000001</v>
      </c>
      <c r="H53" s="154">
        <f t="shared" si="19"/>
        <v>1669.1493150000003</v>
      </c>
      <c r="I53" s="154">
        <f t="shared" si="20"/>
        <v>1700.0594875000004</v>
      </c>
      <c r="J53" s="154">
        <f t="shared" si="21"/>
        <v>1730.9696600000002</v>
      </c>
      <c r="K53" s="154">
        <f t="shared" si="22"/>
        <v>2120.7830970000009</v>
      </c>
      <c r="L53" s="154">
        <f t="shared" si="23"/>
        <v>2523.1896310000002</v>
      </c>
      <c r="M53" s="154">
        <f t="shared" si="24"/>
        <v>2938.1892619999999</v>
      </c>
      <c r="N53" s="154">
        <f t="shared" si="25"/>
        <v>2987.9890800000007</v>
      </c>
      <c r="O53" s="154">
        <f t="shared" si="26"/>
        <v>3037.7888980000002</v>
      </c>
      <c r="Q53" s="59">
        <f>'School Rollup'!D53</f>
        <v>1230.6812</v>
      </c>
      <c r="R53" s="59">
        <f>'School Rollup'!E53</f>
        <v>1255.2948240000001</v>
      </c>
      <c r="S53" s="59">
        <f>'School Rollup'!F53</f>
        <v>1607.32897</v>
      </c>
      <c r="T53" s="59">
        <f>'School Rollup'!G53</f>
        <v>1638.2391425000001</v>
      </c>
      <c r="U53" s="59">
        <f>'School Rollup'!H53</f>
        <v>1669.1493150000003</v>
      </c>
      <c r="V53" s="59">
        <f>'School Rollup'!I53</f>
        <v>1700.0594875000004</v>
      </c>
      <c r="W53" s="59">
        <f>'School Rollup'!J53</f>
        <v>1730.9696600000002</v>
      </c>
      <c r="X53" s="59">
        <f>'School Rollup'!K53</f>
        <v>2120.7830970000009</v>
      </c>
      <c r="Y53" s="59">
        <f>'School Rollup'!L53</f>
        <v>2523.1896310000002</v>
      </c>
      <c r="Z53" s="59">
        <f>'School Rollup'!M53</f>
        <v>2938.1892619999999</v>
      </c>
      <c r="AA53" s="59">
        <f>'School Rollup'!N53</f>
        <v>2987.9890800000007</v>
      </c>
      <c r="AB53" s="59">
        <f>'School Rollup'!O53</f>
        <v>3037.7888980000002</v>
      </c>
      <c r="AC53"/>
      <c r="AD53" s="6">
        <f>CSO!E72</f>
        <v>0</v>
      </c>
      <c r="AE53" s="6">
        <f>CSO!F72</f>
        <v>0</v>
      </c>
      <c r="AF53" s="6">
        <f>CSO!G72</f>
        <v>0</v>
      </c>
      <c r="AG53" s="6">
        <f>CSO!H72</f>
        <v>0</v>
      </c>
      <c r="AH53" s="6">
        <f>CSO!I72</f>
        <v>0</v>
      </c>
      <c r="AI53" s="6">
        <f>CSO!J72</f>
        <v>0</v>
      </c>
      <c r="AJ53" s="6">
        <f>CSO!K72</f>
        <v>0</v>
      </c>
      <c r="AK53" s="6">
        <f>CSO!L72</f>
        <v>0</v>
      </c>
      <c r="AL53" s="6">
        <f>CSO!M72</f>
        <v>0</v>
      </c>
      <c r="AM53" s="6">
        <f>CSO!N72</f>
        <v>0</v>
      </c>
      <c r="AN53" s="6">
        <f>CSO!O72</f>
        <v>0</v>
      </c>
      <c r="AO53" s="6">
        <f>CSO!P72</f>
        <v>0</v>
      </c>
      <c r="AP53"/>
    </row>
    <row r="54" spans="1:42" s="2" customFormat="1" hidden="1" outlineLevel="1" x14ac:dyDescent="0.25">
      <c r="A54" s="18">
        <v>6264</v>
      </c>
      <c r="B54" s="18" t="s">
        <v>387</v>
      </c>
      <c r="D54" s="154">
        <f t="shared" si="27"/>
        <v>7860.3450000000003</v>
      </c>
      <c r="E54" s="154">
        <f t="shared" si="16"/>
        <v>8017.5519000000004</v>
      </c>
      <c r="F54" s="154">
        <f t="shared" si="17"/>
        <v>9048.7695999999996</v>
      </c>
      <c r="G54" s="154">
        <f t="shared" si="18"/>
        <v>9222.7844000000005</v>
      </c>
      <c r="H54" s="154">
        <f t="shared" si="19"/>
        <v>9396.7991999999995</v>
      </c>
      <c r="I54" s="154">
        <f t="shared" si="20"/>
        <v>9570.8140000000021</v>
      </c>
      <c r="J54" s="154">
        <f t="shared" si="21"/>
        <v>9744.8288000000011</v>
      </c>
      <c r="K54" s="154">
        <f t="shared" si="22"/>
        <v>9918.843600000002</v>
      </c>
      <c r="L54" s="154">
        <f t="shared" si="23"/>
        <v>10092.858400000001</v>
      </c>
      <c r="M54" s="154">
        <f t="shared" si="24"/>
        <v>10266.873200000002</v>
      </c>
      <c r="N54" s="154">
        <f t="shared" si="25"/>
        <v>10440.888000000001</v>
      </c>
      <c r="O54" s="154">
        <f t="shared" si="26"/>
        <v>10614.9028</v>
      </c>
      <c r="Q54" s="59">
        <f>'School Rollup'!D54</f>
        <v>4300.8450000000003</v>
      </c>
      <c r="R54" s="59">
        <f>'School Rollup'!E54</f>
        <v>4386.8619000000008</v>
      </c>
      <c r="S54" s="59">
        <f>'School Rollup'!F54</f>
        <v>5346.8896000000004</v>
      </c>
      <c r="T54" s="59">
        <f>'School Rollup'!G54</f>
        <v>5449.7143999999998</v>
      </c>
      <c r="U54" s="59">
        <f>'School Rollup'!H54</f>
        <v>5552.5391999999993</v>
      </c>
      <c r="V54" s="59">
        <f>'School Rollup'!I54</f>
        <v>5655.3640000000014</v>
      </c>
      <c r="W54" s="59">
        <f>'School Rollup'!J54</f>
        <v>5758.1888000000008</v>
      </c>
      <c r="X54" s="59">
        <f>'School Rollup'!K54</f>
        <v>5861.0136000000002</v>
      </c>
      <c r="Y54" s="59">
        <f>'School Rollup'!L54</f>
        <v>5963.8384000000005</v>
      </c>
      <c r="Z54" s="59">
        <f>'School Rollup'!M54</f>
        <v>6066.6632000000009</v>
      </c>
      <c r="AA54" s="59">
        <f>'School Rollup'!N54</f>
        <v>6169.4880000000012</v>
      </c>
      <c r="AB54" s="59">
        <f>'School Rollup'!O54</f>
        <v>6272.3127999999997</v>
      </c>
      <c r="AC54"/>
      <c r="AD54" s="6">
        <f>CSO!E73</f>
        <v>3559.5</v>
      </c>
      <c r="AE54" s="6">
        <f>CSO!F73</f>
        <v>3630.69</v>
      </c>
      <c r="AF54" s="6">
        <f>CSO!G73</f>
        <v>3701.88</v>
      </c>
      <c r="AG54" s="6">
        <f>CSO!H73</f>
        <v>3773.07</v>
      </c>
      <c r="AH54" s="6">
        <f>CSO!I73</f>
        <v>3844.2600000000007</v>
      </c>
      <c r="AI54" s="6">
        <f>CSO!J73</f>
        <v>3915.4500000000003</v>
      </c>
      <c r="AJ54" s="6">
        <f>CSO!K73</f>
        <v>3986.64</v>
      </c>
      <c r="AK54" s="6">
        <f>CSO!L73</f>
        <v>4057.8300000000013</v>
      </c>
      <c r="AL54" s="6">
        <f>CSO!M73</f>
        <v>4129.0200000000004</v>
      </c>
      <c r="AM54" s="6">
        <f>CSO!N73</f>
        <v>4200.21</v>
      </c>
      <c r="AN54" s="6">
        <f>CSO!O73</f>
        <v>4271.3999999999996</v>
      </c>
      <c r="AO54" s="6">
        <f>CSO!P73</f>
        <v>4342.59</v>
      </c>
      <c r="AP54"/>
    </row>
    <row r="55" spans="1:42" s="2" customFormat="1" hidden="1" outlineLevel="1" x14ac:dyDescent="0.25">
      <c r="A55" s="18">
        <v>6267</v>
      </c>
      <c r="B55" s="18" t="s">
        <v>388</v>
      </c>
      <c r="D55" s="154">
        <f t="shared" si="27"/>
        <v>5584.3810000000003</v>
      </c>
      <c r="E55" s="154">
        <f t="shared" si="16"/>
        <v>5647.5794519999999</v>
      </c>
      <c r="F55" s="154">
        <f t="shared" si="17"/>
        <v>5758.3163039999999</v>
      </c>
      <c r="G55" s="154">
        <f t="shared" si="18"/>
        <v>6354.4598040000001</v>
      </c>
      <c r="H55" s="154">
        <f t="shared" si="19"/>
        <v>6474.3552719999998</v>
      </c>
      <c r="I55" s="154">
        <f t="shared" si="20"/>
        <v>6594.2507400000004</v>
      </c>
      <c r="J55" s="154">
        <f t="shared" si="21"/>
        <v>6714.146208000001</v>
      </c>
      <c r="K55" s="154">
        <f t="shared" si="22"/>
        <v>6834.0416760000007</v>
      </c>
      <c r="L55" s="154">
        <f t="shared" si="23"/>
        <v>6953.9371440000004</v>
      </c>
      <c r="M55" s="154">
        <f t="shared" si="24"/>
        <v>7073.8326120000002</v>
      </c>
      <c r="N55" s="154">
        <f t="shared" si="25"/>
        <v>7193.7280799999999</v>
      </c>
      <c r="O55" s="154">
        <f t="shared" si="26"/>
        <v>7313.6235479999996</v>
      </c>
      <c r="Q55" s="59">
        <f>'School Rollup'!D55</f>
        <v>2337.1924000000004</v>
      </c>
      <c r="R55" s="59">
        <f>'School Rollup'!E55</f>
        <v>2335.4470799999999</v>
      </c>
      <c r="S55" s="59">
        <f>'School Rollup'!F55</f>
        <v>2381.2401600000003</v>
      </c>
      <c r="T55" s="59">
        <f>'School Rollup'!G55</f>
        <v>2912.4398880000003</v>
      </c>
      <c r="U55" s="59">
        <f>'School Rollup'!H55</f>
        <v>2967.391584</v>
      </c>
      <c r="V55" s="59">
        <f>'School Rollup'!I55</f>
        <v>3022.34328</v>
      </c>
      <c r="W55" s="59">
        <f>'School Rollup'!J55</f>
        <v>3077.2949760000006</v>
      </c>
      <c r="X55" s="59">
        <f>'School Rollup'!K55</f>
        <v>3132.2466720000002</v>
      </c>
      <c r="Y55" s="59">
        <f>'School Rollup'!L55</f>
        <v>3187.1983680000003</v>
      </c>
      <c r="Z55" s="59">
        <f>'School Rollup'!M55</f>
        <v>3242.1500640000004</v>
      </c>
      <c r="AA55" s="59">
        <f>'School Rollup'!N55</f>
        <v>3297.10176</v>
      </c>
      <c r="AB55" s="59">
        <f>'School Rollup'!O55</f>
        <v>3352.0534560000001</v>
      </c>
      <c r="AC55"/>
      <c r="AD55" s="6">
        <f>CSO!E74</f>
        <v>3247.1886</v>
      </c>
      <c r="AE55" s="6">
        <f>CSO!F74</f>
        <v>3312.132372</v>
      </c>
      <c r="AF55" s="6">
        <f>CSO!G74</f>
        <v>3377.0761440000001</v>
      </c>
      <c r="AG55" s="6">
        <f>CSO!H74</f>
        <v>3442.0199160000002</v>
      </c>
      <c r="AH55" s="6">
        <f>CSO!I74</f>
        <v>3506.9636879999998</v>
      </c>
      <c r="AI55" s="6">
        <f>CSO!J74</f>
        <v>3571.9074600000004</v>
      </c>
      <c r="AJ55" s="6">
        <f>CSO!K74</f>
        <v>3636.8512320000004</v>
      </c>
      <c r="AK55" s="6">
        <f>CSO!L74</f>
        <v>3701.795004000001</v>
      </c>
      <c r="AL55" s="6">
        <f>CSO!M74</f>
        <v>3766.7387760000001</v>
      </c>
      <c r="AM55" s="6">
        <f>CSO!N74</f>
        <v>3831.6825480000002</v>
      </c>
      <c r="AN55" s="6">
        <f>CSO!O74</f>
        <v>3896.6263199999999</v>
      </c>
      <c r="AO55" s="6">
        <f>CSO!P74</f>
        <v>3961.5700919999999</v>
      </c>
      <c r="AP55"/>
    </row>
    <row r="56" spans="1:42" s="2" customFormat="1" hidden="1" outlineLevel="1" x14ac:dyDescent="0.25">
      <c r="A56" s="18">
        <v>6271</v>
      </c>
      <c r="B56" s="18" t="s">
        <v>389</v>
      </c>
      <c r="D56" s="154">
        <f t="shared" si="27"/>
        <v>861.47684000000004</v>
      </c>
      <c r="E56" s="154">
        <f t="shared" si="16"/>
        <v>878.70637680000004</v>
      </c>
      <c r="F56" s="154">
        <f t="shared" si="17"/>
        <v>1125.130279</v>
      </c>
      <c r="G56" s="154">
        <f t="shared" si="18"/>
        <v>1146.7673997500001</v>
      </c>
      <c r="H56" s="154">
        <f t="shared" si="19"/>
        <v>1168.4045205000002</v>
      </c>
      <c r="I56" s="154">
        <f t="shared" si="20"/>
        <v>1190.0416412500001</v>
      </c>
      <c r="J56" s="154">
        <f t="shared" si="21"/>
        <v>1211.6787620000002</v>
      </c>
      <c r="K56" s="154">
        <f t="shared" si="22"/>
        <v>1484.5481679000004</v>
      </c>
      <c r="L56" s="154">
        <f t="shared" si="23"/>
        <v>1766.2327416999999</v>
      </c>
      <c r="M56" s="154">
        <f t="shared" si="24"/>
        <v>2056.7324834000001</v>
      </c>
      <c r="N56" s="154">
        <f t="shared" si="25"/>
        <v>2091.5923560000001</v>
      </c>
      <c r="O56" s="154">
        <f t="shared" si="26"/>
        <v>2126.4522286000001</v>
      </c>
      <c r="Q56" s="59">
        <f>'School Rollup'!D56</f>
        <v>861.47684000000004</v>
      </c>
      <c r="R56" s="59">
        <f>'School Rollup'!E56</f>
        <v>878.70637680000004</v>
      </c>
      <c r="S56" s="59">
        <f>'School Rollup'!F56</f>
        <v>1125.130279</v>
      </c>
      <c r="T56" s="59">
        <f>'School Rollup'!G56</f>
        <v>1146.7673997500001</v>
      </c>
      <c r="U56" s="59">
        <f>'School Rollup'!H56</f>
        <v>1168.4045205000002</v>
      </c>
      <c r="V56" s="59">
        <f>'School Rollup'!I56</f>
        <v>1190.0416412500001</v>
      </c>
      <c r="W56" s="59">
        <f>'School Rollup'!J56</f>
        <v>1211.6787620000002</v>
      </c>
      <c r="X56" s="59">
        <f>'School Rollup'!K56</f>
        <v>1484.5481679000004</v>
      </c>
      <c r="Y56" s="59">
        <f>'School Rollup'!L56</f>
        <v>1766.2327416999999</v>
      </c>
      <c r="Z56" s="59">
        <f>'School Rollup'!M56</f>
        <v>2056.7324834000001</v>
      </c>
      <c r="AA56" s="59">
        <f>'School Rollup'!N56</f>
        <v>2091.5923560000001</v>
      </c>
      <c r="AB56" s="59">
        <f>'School Rollup'!O56</f>
        <v>2126.4522286000001</v>
      </c>
      <c r="AC56"/>
      <c r="AD56" s="6">
        <f>CSO!E75</f>
        <v>0</v>
      </c>
      <c r="AE56" s="6">
        <f>CSO!F75</f>
        <v>0</v>
      </c>
      <c r="AF56" s="6">
        <f>CSO!G75</f>
        <v>0</v>
      </c>
      <c r="AG56" s="6">
        <f>CSO!H75</f>
        <v>0</v>
      </c>
      <c r="AH56" s="6">
        <f>CSO!I75</f>
        <v>0</v>
      </c>
      <c r="AI56" s="6">
        <f>CSO!J75</f>
        <v>0</v>
      </c>
      <c r="AJ56" s="6">
        <f>CSO!K75</f>
        <v>0</v>
      </c>
      <c r="AK56" s="6">
        <f>CSO!L75</f>
        <v>0</v>
      </c>
      <c r="AL56" s="6">
        <f>CSO!M75</f>
        <v>0</v>
      </c>
      <c r="AM56" s="6">
        <f>CSO!N75</f>
        <v>0</v>
      </c>
      <c r="AN56" s="6">
        <f>CSO!O75</f>
        <v>0</v>
      </c>
      <c r="AO56" s="6">
        <f>CSO!P75</f>
        <v>0</v>
      </c>
      <c r="AP56"/>
    </row>
    <row r="57" spans="1:42" s="2" customFormat="1" hidden="1" outlineLevel="1" x14ac:dyDescent="0.25">
      <c r="A57" s="18">
        <v>6274</v>
      </c>
      <c r="B57" s="18" t="s">
        <v>390</v>
      </c>
      <c r="D57" s="154">
        <f t="shared" si="27"/>
        <v>5502.2415000000001</v>
      </c>
      <c r="E57" s="154">
        <f t="shared" si="16"/>
        <v>5612.2863300000008</v>
      </c>
      <c r="F57" s="154">
        <f t="shared" si="17"/>
        <v>6334.1387200000008</v>
      </c>
      <c r="G57" s="154">
        <f t="shared" si="18"/>
        <v>6455.9490800000003</v>
      </c>
      <c r="H57" s="154">
        <f t="shared" si="19"/>
        <v>6577.7594399999998</v>
      </c>
      <c r="I57" s="154">
        <f t="shared" si="20"/>
        <v>6699.5698000000011</v>
      </c>
      <c r="J57" s="154">
        <f t="shared" si="21"/>
        <v>6821.3801600000015</v>
      </c>
      <c r="K57" s="154">
        <f t="shared" si="22"/>
        <v>6943.1905200000019</v>
      </c>
      <c r="L57" s="154">
        <f t="shared" si="23"/>
        <v>7065.0008799999996</v>
      </c>
      <c r="M57" s="154">
        <f t="shared" si="24"/>
        <v>7186.81124</v>
      </c>
      <c r="N57" s="154">
        <f t="shared" si="25"/>
        <v>7308.6216000000004</v>
      </c>
      <c r="O57" s="154">
        <f t="shared" si="26"/>
        <v>7430.4319600000008</v>
      </c>
      <c r="Q57" s="59">
        <f>'School Rollup'!D57</f>
        <v>3010.5915</v>
      </c>
      <c r="R57" s="59">
        <f>'School Rollup'!E57</f>
        <v>3070.8033300000002</v>
      </c>
      <c r="S57" s="59">
        <f>'School Rollup'!F57</f>
        <v>3742.8227200000006</v>
      </c>
      <c r="T57" s="59">
        <f>'School Rollup'!G57</f>
        <v>3814.80008</v>
      </c>
      <c r="U57" s="59">
        <f>'School Rollup'!H57</f>
        <v>3886.7774399999998</v>
      </c>
      <c r="V57" s="59">
        <f>'School Rollup'!I57</f>
        <v>3958.7548000000006</v>
      </c>
      <c r="W57" s="59">
        <f>'School Rollup'!J57</f>
        <v>4030.7321600000014</v>
      </c>
      <c r="X57" s="59">
        <f>'School Rollup'!K57</f>
        <v>4102.7095200000012</v>
      </c>
      <c r="Y57" s="59">
        <f>'School Rollup'!L57</f>
        <v>4174.6868800000002</v>
      </c>
      <c r="Z57" s="59">
        <f>'School Rollup'!M57</f>
        <v>4246.6642400000001</v>
      </c>
      <c r="AA57" s="59">
        <f>'School Rollup'!N57</f>
        <v>4318.6416000000008</v>
      </c>
      <c r="AB57" s="59">
        <f>'School Rollup'!O57</f>
        <v>4390.6189600000007</v>
      </c>
      <c r="AC57"/>
      <c r="AD57" s="6">
        <f>CSO!E76</f>
        <v>2491.65</v>
      </c>
      <c r="AE57" s="6">
        <f>CSO!F76</f>
        <v>2541.4830000000002</v>
      </c>
      <c r="AF57" s="6">
        <f>CSO!G76</f>
        <v>2591.3160000000003</v>
      </c>
      <c r="AG57" s="6">
        <f>CSO!H76</f>
        <v>2641.1489999999999</v>
      </c>
      <c r="AH57" s="6">
        <f>CSO!I76</f>
        <v>2690.9820000000004</v>
      </c>
      <c r="AI57" s="6">
        <f>CSO!J76</f>
        <v>2740.8150000000001</v>
      </c>
      <c r="AJ57" s="6">
        <f>CSO!K76</f>
        <v>2790.6480000000001</v>
      </c>
      <c r="AK57" s="6">
        <f>CSO!L76</f>
        <v>2840.4810000000007</v>
      </c>
      <c r="AL57" s="6">
        <f>CSO!M76</f>
        <v>2890.3139999999999</v>
      </c>
      <c r="AM57" s="6">
        <f>CSO!N76</f>
        <v>2940.1469999999999</v>
      </c>
      <c r="AN57" s="6">
        <f>CSO!O76</f>
        <v>2989.98</v>
      </c>
      <c r="AO57" s="6">
        <f>CSO!P76</f>
        <v>3039.8130000000001</v>
      </c>
      <c r="AP57"/>
    </row>
    <row r="58" spans="1:42" s="2" customFormat="1" hidden="1" outlineLevel="1" x14ac:dyDescent="0.25">
      <c r="A58" s="18">
        <v>6277</v>
      </c>
      <c r="B58" s="18" t="s">
        <v>391</v>
      </c>
      <c r="D58" s="154">
        <f t="shared" si="27"/>
        <v>3909.0667000000003</v>
      </c>
      <c r="E58" s="154">
        <f t="shared" si="16"/>
        <v>4855.3732163999994</v>
      </c>
      <c r="F58" s="154">
        <f t="shared" si="17"/>
        <v>5081.6166128000004</v>
      </c>
      <c r="G58" s="154">
        <f t="shared" si="18"/>
        <v>5608.1646627999999</v>
      </c>
      <c r="H58" s="154">
        <f t="shared" si="19"/>
        <v>5770.6790904</v>
      </c>
      <c r="I58" s="154">
        <f t="shared" si="20"/>
        <v>5877.5435180000004</v>
      </c>
      <c r="J58" s="154">
        <f t="shared" si="21"/>
        <v>5984.4079456000018</v>
      </c>
      <c r="K58" s="154">
        <f t="shared" si="22"/>
        <v>6091.2723732000013</v>
      </c>
      <c r="L58" s="154">
        <f t="shared" si="23"/>
        <v>6198.1368008000009</v>
      </c>
      <c r="M58" s="154">
        <f t="shared" si="24"/>
        <v>6305.0012284000004</v>
      </c>
      <c r="N58" s="154">
        <f t="shared" si="25"/>
        <v>6411.8656559999999</v>
      </c>
      <c r="O58" s="154">
        <f t="shared" si="26"/>
        <v>6518.7300835999995</v>
      </c>
      <c r="Q58" s="59">
        <f>'School Rollup'!D58</f>
        <v>1636.0346800000002</v>
      </c>
      <c r="R58" s="59">
        <f>'School Rollup'!E58</f>
        <v>2536.8805560000001</v>
      </c>
      <c r="S58" s="59">
        <f>'School Rollup'!F58</f>
        <v>2717.6633119999997</v>
      </c>
      <c r="T58" s="59">
        <f>'School Rollup'!G58</f>
        <v>3198.7507216000004</v>
      </c>
      <c r="U58" s="59">
        <f>'School Rollup'!H58</f>
        <v>3315.8045087999999</v>
      </c>
      <c r="V58" s="59">
        <f>'School Rollup'!I58</f>
        <v>3377.2082959999998</v>
      </c>
      <c r="W58" s="59">
        <f>'School Rollup'!J58</f>
        <v>3438.6120832000015</v>
      </c>
      <c r="X58" s="59">
        <f>'School Rollup'!K58</f>
        <v>3500.0158704000009</v>
      </c>
      <c r="Y58" s="59">
        <f>'School Rollup'!L58</f>
        <v>3561.4196576000008</v>
      </c>
      <c r="Z58" s="59">
        <f>'School Rollup'!M58</f>
        <v>3622.8234448000003</v>
      </c>
      <c r="AA58" s="59">
        <f>'School Rollup'!N58</f>
        <v>3684.2272320000002</v>
      </c>
      <c r="AB58" s="59">
        <f>'School Rollup'!O58</f>
        <v>3745.6310192000001</v>
      </c>
      <c r="AC58"/>
      <c r="AD58" s="6">
        <f>CSO!E77</f>
        <v>2273.0320200000001</v>
      </c>
      <c r="AE58" s="6">
        <f>CSO!F77</f>
        <v>2318.4926603999997</v>
      </c>
      <c r="AF58" s="6">
        <f>CSO!G77</f>
        <v>2363.9533008000003</v>
      </c>
      <c r="AG58" s="6">
        <f>CSO!H77</f>
        <v>2409.4139412</v>
      </c>
      <c r="AH58" s="6">
        <f>CSO!I77</f>
        <v>2454.8745816000001</v>
      </c>
      <c r="AI58" s="6">
        <f>CSO!J77</f>
        <v>2500.3352220000002</v>
      </c>
      <c r="AJ58" s="6">
        <f>CSO!K77</f>
        <v>2545.7958624000003</v>
      </c>
      <c r="AK58" s="6">
        <f>CSO!L77</f>
        <v>2591.2565028000008</v>
      </c>
      <c r="AL58" s="6">
        <f>CSO!M77</f>
        <v>2636.7171432</v>
      </c>
      <c r="AM58" s="6">
        <f>CSO!N77</f>
        <v>2682.1777836000001</v>
      </c>
      <c r="AN58" s="6">
        <f>CSO!O77</f>
        <v>2727.6384239999998</v>
      </c>
      <c r="AO58" s="6">
        <f>CSO!P77</f>
        <v>2773.0990643999999</v>
      </c>
      <c r="AP58"/>
    </row>
    <row r="59" spans="1:42" s="2" customFormat="1" hidden="1" outlineLevel="1" x14ac:dyDescent="0.25">
      <c r="A59" s="18">
        <v>6281</v>
      </c>
      <c r="B59" s="18" t="s">
        <v>392</v>
      </c>
      <c r="D59" s="154">
        <f t="shared" si="27"/>
        <v>8400</v>
      </c>
      <c r="E59" s="154">
        <f t="shared" si="16"/>
        <v>8736</v>
      </c>
      <c r="F59" s="154">
        <f t="shared" si="17"/>
        <v>11340</v>
      </c>
      <c r="G59" s="154">
        <f t="shared" si="18"/>
        <v>11760</v>
      </c>
      <c r="H59" s="154">
        <f t="shared" si="19"/>
        <v>12180</v>
      </c>
      <c r="I59" s="154">
        <f t="shared" si="20"/>
        <v>12600</v>
      </c>
      <c r="J59" s="154">
        <f t="shared" si="21"/>
        <v>13020</v>
      </c>
      <c r="K59" s="154">
        <f t="shared" si="22"/>
        <v>16128</v>
      </c>
      <c r="L59" s="154">
        <f t="shared" si="23"/>
        <v>19404</v>
      </c>
      <c r="M59" s="154">
        <f t="shared" si="24"/>
        <v>22847.999999999996</v>
      </c>
      <c r="N59" s="154">
        <f t="shared" si="25"/>
        <v>23520</v>
      </c>
      <c r="O59" s="154">
        <f t="shared" si="26"/>
        <v>24192</v>
      </c>
      <c r="Q59" s="59">
        <f>'School Rollup'!D59</f>
        <v>8400</v>
      </c>
      <c r="R59" s="59">
        <f>'School Rollup'!E59</f>
        <v>8736</v>
      </c>
      <c r="S59" s="59">
        <f>'School Rollup'!F59</f>
        <v>11340</v>
      </c>
      <c r="T59" s="59">
        <f>'School Rollup'!G59</f>
        <v>11760</v>
      </c>
      <c r="U59" s="59">
        <f>'School Rollup'!H59</f>
        <v>12180</v>
      </c>
      <c r="V59" s="59">
        <f>'School Rollup'!I59</f>
        <v>12600</v>
      </c>
      <c r="W59" s="59">
        <f>'School Rollup'!J59</f>
        <v>13020</v>
      </c>
      <c r="X59" s="59">
        <f>'School Rollup'!K59</f>
        <v>16128</v>
      </c>
      <c r="Y59" s="59">
        <f>'School Rollup'!L59</f>
        <v>19404</v>
      </c>
      <c r="Z59" s="59">
        <f>'School Rollup'!M59</f>
        <v>22847.999999999996</v>
      </c>
      <c r="AA59" s="59">
        <f>'School Rollup'!N59</f>
        <v>23520</v>
      </c>
      <c r="AB59" s="59">
        <f>'School Rollup'!O59</f>
        <v>24192</v>
      </c>
      <c r="AC59"/>
      <c r="AD59" s="6">
        <f>CSO!E78</f>
        <v>0</v>
      </c>
      <c r="AE59" s="6">
        <f>CSO!F78</f>
        <v>0</v>
      </c>
      <c r="AF59" s="6">
        <f>CSO!G78</f>
        <v>0</v>
      </c>
      <c r="AG59" s="6">
        <f>CSO!H78</f>
        <v>0</v>
      </c>
      <c r="AH59" s="6">
        <f>CSO!I78</f>
        <v>0</v>
      </c>
      <c r="AI59" s="6">
        <f>CSO!J78</f>
        <v>0</v>
      </c>
      <c r="AJ59" s="6">
        <f>CSO!K78</f>
        <v>0</v>
      </c>
      <c r="AK59" s="6">
        <f>CSO!L78</f>
        <v>0</v>
      </c>
      <c r="AL59" s="6">
        <f>CSO!M78</f>
        <v>0</v>
      </c>
      <c r="AM59" s="6">
        <f>CSO!N78</f>
        <v>0</v>
      </c>
      <c r="AN59" s="6">
        <f>CSO!O78</f>
        <v>0</v>
      </c>
      <c r="AO59" s="6">
        <f>CSO!P78</f>
        <v>0</v>
      </c>
      <c r="AP59"/>
    </row>
    <row r="60" spans="1:42" s="2" customFormat="1" hidden="1" outlineLevel="1" x14ac:dyDescent="0.25">
      <c r="A60" s="18">
        <v>6284</v>
      </c>
      <c r="B60" s="18" t="s">
        <v>393</v>
      </c>
      <c r="D60" s="154">
        <f t="shared" si="27"/>
        <v>33600</v>
      </c>
      <c r="E60" s="154">
        <f t="shared" si="16"/>
        <v>34944</v>
      </c>
      <c r="F60" s="154">
        <f t="shared" si="17"/>
        <v>40824</v>
      </c>
      <c r="G60" s="154">
        <f t="shared" si="18"/>
        <v>42336</v>
      </c>
      <c r="H60" s="154">
        <f t="shared" si="19"/>
        <v>43848</v>
      </c>
      <c r="I60" s="154">
        <f t="shared" si="20"/>
        <v>45360</v>
      </c>
      <c r="J60" s="154">
        <f t="shared" si="21"/>
        <v>46872</v>
      </c>
      <c r="K60" s="154">
        <f t="shared" si="22"/>
        <v>48384</v>
      </c>
      <c r="L60" s="154">
        <f t="shared" si="23"/>
        <v>49896</v>
      </c>
      <c r="M60" s="154">
        <f t="shared" si="24"/>
        <v>51407.999999999993</v>
      </c>
      <c r="N60" s="154">
        <f t="shared" si="25"/>
        <v>52920</v>
      </c>
      <c r="O60" s="154">
        <f t="shared" si="26"/>
        <v>54432</v>
      </c>
      <c r="Q60" s="59">
        <f>'School Rollup'!D60</f>
        <v>21000</v>
      </c>
      <c r="R60" s="59">
        <f>'School Rollup'!E60</f>
        <v>21840</v>
      </c>
      <c r="S60" s="59">
        <f>'School Rollup'!F60</f>
        <v>27216</v>
      </c>
      <c r="T60" s="59">
        <f>'School Rollup'!G60</f>
        <v>28224</v>
      </c>
      <c r="U60" s="59">
        <f>'School Rollup'!H60</f>
        <v>29232</v>
      </c>
      <c r="V60" s="59">
        <f>'School Rollup'!I60</f>
        <v>30240</v>
      </c>
      <c r="W60" s="59">
        <f>'School Rollup'!J60</f>
        <v>31248</v>
      </c>
      <c r="X60" s="59">
        <f>'School Rollup'!K60</f>
        <v>32256</v>
      </c>
      <c r="Y60" s="59">
        <f>'School Rollup'!L60</f>
        <v>33264</v>
      </c>
      <c r="Z60" s="59">
        <f>'School Rollup'!M60</f>
        <v>34271.999999999993</v>
      </c>
      <c r="AA60" s="59">
        <f>'School Rollup'!N60</f>
        <v>35280</v>
      </c>
      <c r="AB60" s="59">
        <f>'School Rollup'!O60</f>
        <v>36288</v>
      </c>
      <c r="AC60"/>
      <c r="AD60" s="6">
        <f>CSO!E79</f>
        <v>12600</v>
      </c>
      <c r="AE60" s="6">
        <f>CSO!F79</f>
        <v>13104</v>
      </c>
      <c r="AF60" s="6">
        <f>CSO!G79</f>
        <v>13608</v>
      </c>
      <c r="AG60" s="6">
        <f>CSO!H79</f>
        <v>14112.000000000002</v>
      </c>
      <c r="AH60" s="6">
        <f>CSO!I79</f>
        <v>14615.999999999998</v>
      </c>
      <c r="AI60" s="6">
        <f>CSO!J79</f>
        <v>15120</v>
      </c>
      <c r="AJ60" s="6">
        <f>CSO!K79</f>
        <v>15624</v>
      </c>
      <c r="AK60" s="6">
        <f>CSO!L79</f>
        <v>16128</v>
      </c>
      <c r="AL60" s="6">
        <f>CSO!M79</f>
        <v>16632</v>
      </c>
      <c r="AM60" s="6">
        <f>CSO!N79</f>
        <v>17136</v>
      </c>
      <c r="AN60" s="6">
        <f>CSO!O79</f>
        <v>17640</v>
      </c>
      <c r="AO60" s="6">
        <f>CSO!P79</f>
        <v>18144</v>
      </c>
      <c r="AP60"/>
    </row>
    <row r="61" spans="1:42" s="2" customFormat="1" hidden="1" outlineLevel="1" x14ac:dyDescent="0.25">
      <c r="A61" s="18">
        <v>6287</v>
      </c>
      <c r="B61" s="18" t="s">
        <v>394</v>
      </c>
      <c r="D61" s="154">
        <f t="shared" si="27"/>
        <v>33600</v>
      </c>
      <c r="E61" s="154">
        <f t="shared" si="16"/>
        <v>43680</v>
      </c>
      <c r="F61" s="154">
        <f t="shared" si="17"/>
        <v>45360</v>
      </c>
      <c r="G61" s="154">
        <f t="shared" si="18"/>
        <v>51744</v>
      </c>
      <c r="H61" s="154">
        <f t="shared" si="19"/>
        <v>53592</v>
      </c>
      <c r="I61" s="154">
        <f t="shared" si="20"/>
        <v>55440</v>
      </c>
      <c r="J61" s="154">
        <f t="shared" si="21"/>
        <v>57288</v>
      </c>
      <c r="K61" s="154">
        <f t="shared" si="22"/>
        <v>59136</v>
      </c>
      <c r="L61" s="154">
        <f t="shared" si="23"/>
        <v>60984</v>
      </c>
      <c r="M61" s="154">
        <f t="shared" si="24"/>
        <v>62831.999999999985</v>
      </c>
      <c r="N61" s="154">
        <f t="shared" si="25"/>
        <v>64680</v>
      </c>
      <c r="O61" s="154">
        <f t="shared" si="26"/>
        <v>66528</v>
      </c>
      <c r="Q61" s="59">
        <f>'School Rollup'!D61</f>
        <v>12600</v>
      </c>
      <c r="R61" s="59">
        <f>'School Rollup'!E61</f>
        <v>21840</v>
      </c>
      <c r="S61" s="59">
        <f>'School Rollup'!F61</f>
        <v>22680</v>
      </c>
      <c r="T61" s="59">
        <f>'School Rollup'!G61</f>
        <v>28224</v>
      </c>
      <c r="U61" s="59">
        <f>'School Rollup'!H61</f>
        <v>29232</v>
      </c>
      <c r="V61" s="59">
        <f>'School Rollup'!I61</f>
        <v>30240</v>
      </c>
      <c r="W61" s="59">
        <f>'School Rollup'!J61</f>
        <v>31248</v>
      </c>
      <c r="X61" s="59">
        <f>'School Rollup'!K61</f>
        <v>32256</v>
      </c>
      <c r="Y61" s="59">
        <f>'School Rollup'!L61</f>
        <v>33264</v>
      </c>
      <c r="Z61" s="59">
        <f>'School Rollup'!M61</f>
        <v>34271.999999999993</v>
      </c>
      <c r="AA61" s="59">
        <f>'School Rollup'!N61</f>
        <v>35280</v>
      </c>
      <c r="AB61" s="59">
        <f>'School Rollup'!O61</f>
        <v>36288</v>
      </c>
      <c r="AC61"/>
      <c r="AD61" s="6">
        <f>CSO!E80</f>
        <v>21000</v>
      </c>
      <c r="AE61" s="6">
        <f>CSO!F80</f>
        <v>21840</v>
      </c>
      <c r="AF61" s="6">
        <f>CSO!G80</f>
        <v>22680</v>
      </c>
      <c r="AG61" s="6">
        <f>CSO!H80</f>
        <v>23520.000000000004</v>
      </c>
      <c r="AH61" s="6">
        <f>CSO!I80</f>
        <v>24360</v>
      </c>
      <c r="AI61" s="6">
        <f>CSO!J80</f>
        <v>25200</v>
      </c>
      <c r="AJ61" s="6">
        <f>CSO!K80</f>
        <v>26040</v>
      </c>
      <c r="AK61" s="6">
        <f>CSO!L80</f>
        <v>26880</v>
      </c>
      <c r="AL61" s="6">
        <f>CSO!M80</f>
        <v>27720</v>
      </c>
      <c r="AM61" s="6">
        <f>CSO!N80</f>
        <v>28559.999999999996</v>
      </c>
      <c r="AN61" s="6">
        <f>CSO!O80</f>
        <v>29399.999999999996</v>
      </c>
      <c r="AO61" s="6">
        <f>CSO!P80</f>
        <v>30240</v>
      </c>
      <c r="AP61"/>
    </row>
    <row r="62" spans="1:42" s="264" customFormat="1" collapsed="1" x14ac:dyDescent="0.25">
      <c r="A62" s="275">
        <v>200</v>
      </c>
      <c r="B62" s="275" t="s">
        <v>106</v>
      </c>
      <c r="D62" s="265">
        <f t="shared" si="27"/>
        <v>466181.36559000006</v>
      </c>
      <c r="E62" s="265">
        <f t="shared" si="16"/>
        <v>512069.65593775513</v>
      </c>
      <c r="F62" s="265">
        <f t="shared" si="17"/>
        <v>566690.68560216005</v>
      </c>
      <c r="G62" s="265">
        <f t="shared" si="18"/>
        <v>594556.6714997401</v>
      </c>
      <c r="H62" s="265">
        <f t="shared" si="19"/>
        <v>608234.09077332017</v>
      </c>
      <c r="I62" s="265">
        <f t="shared" si="20"/>
        <v>621247.68504690006</v>
      </c>
      <c r="J62" s="265">
        <f t="shared" si="21"/>
        <v>634261.27932048007</v>
      </c>
      <c r="K62" s="265">
        <f t="shared" si="22"/>
        <v>656764.09045633522</v>
      </c>
      <c r="L62" s="265">
        <f t="shared" si="23"/>
        <v>679673.54078033997</v>
      </c>
      <c r="M62" s="265">
        <f t="shared" si="24"/>
        <v>702989.63029249513</v>
      </c>
      <c r="N62" s="265">
        <f t="shared" si="25"/>
        <v>716613.18334829994</v>
      </c>
      <c r="O62" s="265">
        <f t="shared" si="26"/>
        <v>730236.73640410509</v>
      </c>
      <c r="Q62" s="266">
        <f>'School Rollup'!D62</f>
        <v>242842.67934000003</v>
      </c>
      <c r="R62" s="266">
        <f>'School Rollup'!E62</f>
        <v>282347.02087980008</v>
      </c>
      <c r="S62" s="266">
        <f>'School Rollup'!F62</f>
        <v>331804.86162150005</v>
      </c>
      <c r="T62" s="266">
        <f>'School Rollup'!G62</f>
        <v>354507.65859637508</v>
      </c>
      <c r="U62" s="266">
        <f>'School Rollup'!H62</f>
        <v>363021.88894725009</v>
      </c>
      <c r="V62" s="266">
        <f>'School Rollup'!I62</f>
        <v>370872.29429812502</v>
      </c>
      <c r="W62" s="266">
        <f>'School Rollup'!J62</f>
        <v>378722.69964900007</v>
      </c>
      <c r="X62" s="266">
        <f>'School Rollup'!K62</f>
        <v>396062.3218621501</v>
      </c>
      <c r="Y62" s="266">
        <f>'School Rollup'!L62</f>
        <v>413808.58326344995</v>
      </c>
      <c r="Z62" s="266">
        <f>'School Rollup'!M62</f>
        <v>431961.48385290004</v>
      </c>
      <c r="AA62" s="266">
        <f>'School Rollup'!N62</f>
        <v>440421.84798600001</v>
      </c>
      <c r="AB62" s="266">
        <f>'School Rollup'!O62</f>
        <v>448882.21211910009</v>
      </c>
      <c r="AC62" s="267"/>
      <c r="AD62" s="268">
        <f>CSO!E81</f>
        <v>223338.68625000003</v>
      </c>
      <c r="AE62" s="268">
        <f>CSO!F81</f>
        <v>229722.63505795505</v>
      </c>
      <c r="AF62" s="268">
        <f>CSO!G81</f>
        <v>234885.82398066</v>
      </c>
      <c r="AG62" s="268">
        <f>CSO!H81</f>
        <v>240049.01290336504</v>
      </c>
      <c r="AH62" s="268">
        <f>CSO!I81</f>
        <v>245212.20182607006</v>
      </c>
      <c r="AI62" s="268">
        <f>CSO!J81</f>
        <v>250375.3907487751</v>
      </c>
      <c r="AJ62" s="268">
        <f>CSO!K81</f>
        <v>255538.57967147999</v>
      </c>
      <c r="AK62" s="268">
        <f>CSO!L81</f>
        <v>260701.76859418512</v>
      </c>
      <c r="AL62" s="268">
        <f>CSO!M81</f>
        <v>265864.95751689002</v>
      </c>
      <c r="AM62" s="268">
        <f>CSO!N81</f>
        <v>271028.14643959509</v>
      </c>
      <c r="AN62" s="268">
        <f>CSO!O81</f>
        <v>276191.33536229993</v>
      </c>
      <c r="AO62" s="268">
        <f>CSO!P81</f>
        <v>281354.52428500506</v>
      </c>
      <c r="AP62" s="267"/>
    </row>
    <row r="63" spans="1:42" s="16" customFormat="1" x14ac:dyDescent="0.25">
      <c r="A63" s="279">
        <v>300</v>
      </c>
      <c r="B63" s="279" t="s">
        <v>484</v>
      </c>
      <c r="D63" s="281">
        <f t="shared" si="27"/>
        <v>9450</v>
      </c>
      <c r="E63" s="281">
        <f t="shared" si="16"/>
        <v>9590</v>
      </c>
      <c r="F63" s="281">
        <f t="shared" si="17"/>
        <v>9730</v>
      </c>
      <c r="G63" s="281">
        <f t="shared" si="18"/>
        <v>13580</v>
      </c>
      <c r="H63" s="281">
        <f t="shared" si="19"/>
        <v>13580</v>
      </c>
      <c r="I63" s="281">
        <f t="shared" si="20"/>
        <v>13580</v>
      </c>
      <c r="J63" s="281">
        <f t="shared" si="21"/>
        <v>20090</v>
      </c>
      <c r="K63" s="281">
        <f t="shared" si="22"/>
        <v>20090</v>
      </c>
      <c r="L63" s="281">
        <f t="shared" si="23"/>
        <v>20090</v>
      </c>
      <c r="M63" s="281">
        <f t="shared" si="24"/>
        <v>30328</v>
      </c>
      <c r="N63" s="281">
        <f t="shared" si="25"/>
        <v>30328</v>
      </c>
      <c r="O63" s="281">
        <f t="shared" si="26"/>
        <v>30328</v>
      </c>
      <c r="Q63" s="292">
        <f>'School Rollup'!D63</f>
        <v>2450</v>
      </c>
      <c r="R63" s="292">
        <f>'School Rollup'!E63</f>
        <v>2450</v>
      </c>
      <c r="S63" s="292">
        <f>'School Rollup'!F63</f>
        <v>2450</v>
      </c>
      <c r="T63" s="292">
        <f>'School Rollup'!G63</f>
        <v>2450</v>
      </c>
      <c r="U63" s="292">
        <f>'School Rollup'!H63</f>
        <v>2450</v>
      </c>
      <c r="V63" s="292">
        <f>'School Rollup'!I63</f>
        <v>2450</v>
      </c>
      <c r="W63" s="292">
        <f>'School Rollup'!J63</f>
        <v>2450</v>
      </c>
      <c r="X63" s="292">
        <f>'School Rollup'!K63</f>
        <v>2450</v>
      </c>
      <c r="Y63" s="292">
        <f>'School Rollup'!L63</f>
        <v>2450</v>
      </c>
      <c r="Z63" s="292">
        <f>'School Rollup'!M63</f>
        <v>2450</v>
      </c>
      <c r="AA63" s="292">
        <f>'School Rollup'!N63</f>
        <v>2450</v>
      </c>
      <c r="AB63" s="292">
        <f>'School Rollup'!O63</f>
        <v>2450</v>
      </c>
      <c r="AC63" s="30"/>
      <c r="AD63" s="261">
        <f>CSO!E82</f>
        <v>7000</v>
      </c>
      <c r="AE63" s="261">
        <f>CSO!F82</f>
        <v>7140</v>
      </c>
      <c r="AF63" s="261">
        <f>CSO!G82</f>
        <v>7280</v>
      </c>
      <c r="AG63" s="261">
        <f>CSO!H82</f>
        <v>11130</v>
      </c>
      <c r="AH63" s="261">
        <f>CSO!I82</f>
        <v>11130</v>
      </c>
      <c r="AI63" s="261">
        <f>CSO!J82</f>
        <v>11130</v>
      </c>
      <c r="AJ63" s="261">
        <f>CSO!K82</f>
        <v>17640</v>
      </c>
      <c r="AK63" s="261">
        <f>CSO!L82</f>
        <v>17640</v>
      </c>
      <c r="AL63" s="261">
        <f>CSO!M82</f>
        <v>17640</v>
      </c>
      <c r="AM63" s="261">
        <f>CSO!N82</f>
        <v>27878</v>
      </c>
      <c r="AN63" s="261">
        <f>CSO!O82</f>
        <v>27878</v>
      </c>
      <c r="AO63" s="261">
        <f>CSO!P82</f>
        <v>27878</v>
      </c>
      <c r="AP63" s="30"/>
    </row>
    <row r="64" spans="1:42" s="16" customFormat="1" x14ac:dyDescent="0.25">
      <c r="A64" s="280">
        <v>300</v>
      </c>
      <c r="B64" s="279" t="s">
        <v>578</v>
      </c>
      <c r="D64" s="281">
        <f t="shared" si="27"/>
        <v>158287.5</v>
      </c>
      <c r="E64" s="281">
        <f t="shared" si="16"/>
        <v>221138.19</v>
      </c>
      <c r="F64" s="281">
        <f t="shared" si="17"/>
        <v>252176.51452500004</v>
      </c>
      <c r="G64" s="281">
        <f t="shared" si="18"/>
        <v>261591.20641375319</v>
      </c>
      <c r="H64" s="281">
        <f t="shared" si="19"/>
        <v>276103.290007659</v>
      </c>
      <c r="I64" s="281">
        <f t="shared" si="20"/>
        <v>292925.71962801204</v>
      </c>
      <c r="J64" s="281">
        <f t="shared" si="21"/>
        <v>309984.95488260745</v>
      </c>
      <c r="K64" s="281">
        <f t="shared" si="22"/>
        <v>327283.60159429262</v>
      </c>
      <c r="L64" s="281">
        <f t="shared" si="23"/>
        <v>346979.44317389687</v>
      </c>
      <c r="M64" s="281">
        <f t="shared" si="24"/>
        <v>366952.31267460558</v>
      </c>
      <c r="N64" s="281">
        <f t="shared" si="25"/>
        <v>387205.25762414635</v>
      </c>
      <c r="O64" s="281">
        <f t="shared" si="26"/>
        <v>409945.36300834408</v>
      </c>
      <c r="Q64" s="293">
        <f>'School Rollup'!D64</f>
        <v>158287.5</v>
      </c>
      <c r="R64" s="293">
        <f>'School Rollup'!E64</f>
        <v>221138.19</v>
      </c>
      <c r="S64" s="293">
        <f>'School Rollup'!F64</f>
        <v>252176.51452500004</v>
      </c>
      <c r="T64" s="293">
        <f>'School Rollup'!G64</f>
        <v>261591.20641375319</v>
      </c>
      <c r="U64" s="293">
        <f>'School Rollup'!H64</f>
        <v>276103.290007659</v>
      </c>
      <c r="V64" s="293">
        <f>'School Rollup'!I64</f>
        <v>292925.71962801204</v>
      </c>
      <c r="W64" s="293">
        <f>'School Rollup'!J64</f>
        <v>309984.95488260745</v>
      </c>
      <c r="X64" s="293">
        <f>'School Rollup'!K64</f>
        <v>327283.60159429262</v>
      </c>
      <c r="Y64" s="293">
        <f>'School Rollup'!L64</f>
        <v>346979.44317389687</v>
      </c>
      <c r="Z64" s="293">
        <f>'School Rollup'!M64</f>
        <v>366952.31267460558</v>
      </c>
      <c r="AA64" s="293">
        <f>'School Rollup'!N64</f>
        <v>387205.25762414635</v>
      </c>
      <c r="AB64" s="293">
        <f>'School Rollup'!O64</f>
        <v>409945.36300834408</v>
      </c>
      <c r="AC64" s="30"/>
      <c r="AD64" s="287">
        <f>CSO!E83</f>
        <v>0</v>
      </c>
      <c r="AE64" s="287">
        <f>CSO!F83</f>
        <v>0</v>
      </c>
      <c r="AF64" s="287">
        <f>CSO!G83</f>
        <v>0</v>
      </c>
      <c r="AG64" s="287">
        <f>CSO!H83</f>
        <v>0</v>
      </c>
      <c r="AH64" s="287">
        <f>CSO!I83</f>
        <v>0</v>
      </c>
      <c r="AI64" s="287">
        <f>CSO!J83</f>
        <v>0</v>
      </c>
      <c r="AJ64" s="287">
        <f>CSO!K83</f>
        <v>0</v>
      </c>
      <c r="AK64" s="287">
        <f>CSO!L83</f>
        <v>0</v>
      </c>
      <c r="AL64" s="287">
        <f>CSO!M83</f>
        <v>0</v>
      </c>
      <c r="AM64" s="287">
        <f>CSO!N83</f>
        <v>0</v>
      </c>
      <c r="AN64" s="287">
        <f>CSO!O83</f>
        <v>0</v>
      </c>
      <c r="AO64" s="287">
        <f>CSO!P83</f>
        <v>0</v>
      </c>
      <c r="AP64" s="30"/>
    </row>
    <row r="65" spans="1:42" s="16" customFormat="1" x14ac:dyDescent="0.25">
      <c r="A65" s="280">
        <v>300</v>
      </c>
      <c r="B65" s="279" t="s">
        <v>517</v>
      </c>
      <c r="D65" s="281">
        <f t="shared" si="27"/>
        <v>76920.1875</v>
      </c>
      <c r="E65" s="281">
        <f t="shared" si="16"/>
        <v>88318.583437499998</v>
      </c>
      <c r="F65" s="281">
        <f t="shared" si="17"/>
        <v>104135.02671000001</v>
      </c>
      <c r="G65" s="281">
        <f t="shared" si="18"/>
        <v>111667.54276932214</v>
      </c>
      <c r="H65" s="281">
        <f t="shared" si="19"/>
        <v>117650.40355569382</v>
      </c>
      <c r="I65" s="281">
        <f t="shared" si="20"/>
        <v>122445.51721689697</v>
      </c>
      <c r="J65" s="281">
        <f t="shared" si="21"/>
        <v>127833.58265895022</v>
      </c>
      <c r="K65" s="281">
        <f t="shared" si="22"/>
        <v>133295.5815222908</v>
      </c>
      <c r="L65" s="281">
        <f t="shared" si="23"/>
        <v>139372.708045059</v>
      </c>
      <c r="M65" s="281">
        <f t="shared" si="24"/>
        <v>145533.49358920811</v>
      </c>
      <c r="N65" s="281">
        <f t="shared" si="25"/>
        <v>151997.61123424792</v>
      </c>
      <c r="O65" s="281">
        <f t="shared" si="26"/>
        <v>158772.54175685404</v>
      </c>
      <c r="Q65" s="293">
        <f>'School Rollup'!D65</f>
        <v>76920.1875</v>
      </c>
      <c r="R65" s="293">
        <f>'School Rollup'!E65</f>
        <v>88318.583437499998</v>
      </c>
      <c r="S65" s="293">
        <f>'School Rollup'!F65</f>
        <v>104135.02671000001</v>
      </c>
      <c r="T65" s="293">
        <f>'School Rollup'!G65</f>
        <v>111667.54276932214</v>
      </c>
      <c r="U65" s="293">
        <f>'School Rollup'!H65</f>
        <v>117650.40355569382</v>
      </c>
      <c r="V65" s="293">
        <f>'School Rollup'!I65</f>
        <v>122445.51721689697</v>
      </c>
      <c r="W65" s="293">
        <f>'School Rollup'!J65</f>
        <v>127833.58265895022</v>
      </c>
      <c r="X65" s="293">
        <f>'School Rollup'!K65</f>
        <v>133295.5815222908</v>
      </c>
      <c r="Y65" s="293">
        <f>'School Rollup'!L65</f>
        <v>139372.708045059</v>
      </c>
      <c r="Z65" s="293">
        <f>'School Rollup'!M65</f>
        <v>145533.49358920811</v>
      </c>
      <c r="AA65" s="293">
        <f>'School Rollup'!N65</f>
        <v>151997.61123424792</v>
      </c>
      <c r="AB65" s="293">
        <f>'School Rollup'!O65</f>
        <v>158772.54175685404</v>
      </c>
      <c r="AC65" s="30"/>
      <c r="AD65" s="287">
        <f>CSO!E84</f>
        <v>0</v>
      </c>
      <c r="AE65" s="287">
        <f>CSO!F84</f>
        <v>0</v>
      </c>
      <c r="AF65" s="287">
        <f>CSO!G84</f>
        <v>0</v>
      </c>
      <c r="AG65" s="287">
        <f>CSO!H84</f>
        <v>0</v>
      </c>
      <c r="AH65" s="287">
        <f>CSO!I84</f>
        <v>0</v>
      </c>
      <c r="AI65" s="287">
        <f>CSO!J84</f>
        <v>0</v>
      </c>
      <c r="AJ65" s="287">
        <f>CSO!K84</f>
        <v>0</v>
      </c>
      <c r="AK65" s="287">
        <f>CSO!L84</f>
        <v>0</v>
      </c>
      <c r="AL65" s="287">
        <f>CSO!M84</f>
        <v>0</v>
      </c>
      <c r="AM65" s="287">
        <f>CSO!N84</f>
        <v>0</v>
      </c>
      <c r="AN65" s="287">
        <f>CSO!O84</f>
        <v>0</v>
      </c>
      <c r="AO65" s="287">
        <f>CSO!P84</f>
        <v>0</v>
      </c>
      <c r="AP65" s="30"/>
    </row>
    <row r="66" spans="1:42" s="2" customFormat="1" hidden="1" outlineLevel="1" x14ac:dyDescent="0.25">
      <c r="A66" s="145">
        <v>6300</v>
      </c>
      <c r="B66" s="18" t="s">
        <v>481</v>
      </c>
      <c r="D66" s="154">
        <f t="shared" si="27"/>
        <v>5000</v>
      </c>
      <c r="E66" s="154">
        <f t="shared" si="16"/>
        <v>5000</v>
      </c>
      <c r="F66" s="154">
        <f t="shared" si="17"/>
        <v>5000</v>
      </c>
      <c r="G66" s="154">
        <f t="shared" si="18"/>
        <v>5000</v>
      </c>
      <c r="H66" s="154">
        <f t="shared" si="19"/>
        <v>5000</v>
      </c>
      <c r="I66" s="154">
        <f t="shared" si="20"/>
        <v>5000</v>
      </c>
      <c r="J66" s="154">
        <f t="shared" si="21"/>
        <v>5000</v>
      </c>
      <c r="K66" s="154">
        <f t="shared" si="22"/>
        <v>5000</v>
      </c>
      <c r="L66" s="154">
        <f t="shared" si="23"/>
        <v>5000</v>
      </c>
      <c r="M66" s="154">
        <f t="shared" si="24"/>
        <v>5000</v>
      </c>
      <c r="N66" s="154">
        <f t="shared" si="25"/>
        <v>5000</v>
      </c>
      <c r="O66" s="154">
        <f t="shared" si="26"/>
        <v>5000</v>
      </c>
      <c r="Q66" s="59">
        <f>'School Rollup'!D66</f>
        <v>0</v>
      </c>
      <c r="R66" s="59">
        <f>'School Rollup'!E66</f>
        <v>0</v>
      </c>
      <c r="S66" s="59">
        <f>'School Rollup'!F66</f>
        <v>0</v>
      </c>
      <c r="T66" s="59">
        <f>'School Rollup'!G66</f>
        <v>0</v>
      </c>
      <c r="U66" s="59">
        <f>'School Rollup'!H66</f>
        <v>0</v>
      </c>
      <c r="V66" s="59">
        <f>'School Rollup'!I66</f>
        <v>0</v>
      </c>
      <c r="W66" s="59">
        <f>'School Rollup'!J66</f>
        <v>0</v>
      </c>
      <c r="X66" s="59">
        <f>'School Rollup'!K66</f>
        <v>0</v>
      </c>
      <c r="Y66" s="59">
        <f>'School Rollup'!L66</f>
        <v>0</v>
      </c>
      <c r="Z66" s="59">
        <f>'School Rollup'!M66</f>
        <v>0</v>
      </c>
      <c r="AA66" s="59">
        <f>'School Rollup'!N66</f>
        <v>0</v>
      </c>
      <c r="AB66" s="59">
        <f>'School Rollup'!O66</f>
        <v>0</v>
      </c>
      <c r="AC66"/>
      <c r="AD66" s="6">
        <f>CSO!E85</f>
        <v>5000</v>
      </c>
      <c r="AE66" s="6">
        <f>CSO!F85</f>
        <v>5000</v>
      </c>
      <c r="AF66" s="6">
        <f>CSO!G85</f>
        <v>5000</v>
      </c>
      <c r="AG66" s="6">
        <f>CSO!H85</f>
        <v>5000</v>
      </c>
      <c r="AH66" s="6">
        <f>CSO!I85</f>
        <v>5000</v>
      </c>
      <c r="AI66" s="6">
        <f>CSO!J85</f>
        <v>5000</v>
      </c>
      <c r="AJ66" s="6">
        <f>CSO!K85</f>
        <v>5000</v>
      </c>
      <c r="AK66" s="6">
        <f>CSO!L85</f>
        <v>5000</v>
      </c>
      <c r="AL66" s="6">
        <f>CSO!M85</f>
        <v>5000</v>
      </c>
      <c r="AM66" s="6">
        <f>CSO!N85</f>
        <v>5000</v>
      </c>
      <c r="AN66" s="6">
        <f>CSO!O85</f>
        <v>5000</v>
      </c>
      <c r="AO66" s="6">
        <f>CSO!P85</f>
        <v>5000</v>
      </c>
      <c r="AP66"/>
    </row>
    <row r="67" spans="1:42" s="2" customFormat="1" hidden="1" outlineLevel="1" x14ac:dyDescent="0.25">
      <c r="A67" s="145">
        <v>6300</v>
      </c>
      <c r="B67" s="18" t="s">
        <v>482</v>
      </c>
      <c r="D67" s="154">
        <f t="shared" si="27"/>
        <v>1320</v>
      </c>
      <c r="E67" s="154">
        <f t="shared" si="16"/>
        <v>1478</v>
      </c>
      <c r="F67" s="154">
        <f t="shared" si="17"/>
        <v>1582</v>
      </c>
      <c r="G67" s="154">
        <f t="shared" si="18"/>
        <v>1657</v>
      </c>
      <c r="H67" s="154">
        <f t="shared" si="19"/>
        <v>1737</v>
      </c>
      <c r="I67" s="154">
        <f t="shared" si="20"/>
        <v>1822</v>
      </c>
      <c r="J67" s="154">
        <f t="shared" si="21"/>
        <v>1911</v>
      </c>
      <c r="K67" s="154">
        <f t="shared" si="22"/>
        <v>2002</v>
      </c>
      <c r="L67" s="154">
        <f t="shared" si="23"/>
        <v>2103</v>
      </c>
      <c r="M67" s="154">
        <f t="shared" si="24"/>
        <v>2205</v>
      </c>
      <c r="N67" s="154">
        <f t="shared" si="25"/>
        <v>2309</v>
      </c>
      <c r="O67" s="154">
        <f t="shared" si="26"/>
        <v>2421</v>
      </c>
      <c r="Q67" s="59">
        <f>'School Rollup'!D67</f>
        <v>1320</v>
      </c>
      <c r="R67" s="59">
        <f>'School Rollup'!E67</f>
        <v>1478</v>
      </c>
      <c r="S67" s="59">
        <f>'School Rollup'!F67</f>
        <v>1582</v>
      </c>
      <c r="T67" s="59">
        <f>'School Rollup'!G67</f>
        <v>1657</v>
      </c>
      <c r="U67" s="59">
        <f>'School Rollup'!H67</f>
        <v>1737</v>
      </c>
      <c r="V67" s="59">
        <f>'School Rollup'!I67</f>
        <v>1822</v>
      </c>
      <c r="W67" s="59">
        <f>'School Rollup'!J67</f>
        <v>1911</v>
      </c>
      <c r="X67" s="59">
        <f>'School Rollup'!K67</f>
        <v>2002</v>
      </c>
      <c r="Y67" s="59">
        <f>'School Rollup'!L67</f>
        <v>2103</v>
      </c>
      <c r="Z67" s="59">
        <f>'School Rollup'!M67</f>
        <v>2205</v>
      </c>
      <c r="AA67" s="59">
        <f>'School Rollup'!N67</f>
        <v>2309</v>
      </c>
      <c r="AB67" s="59">
        <f>'School Rollup'!O67</f>
        <v>2421</v>
      </c>
      <c r="AC67"/>
      <c r="AD67" s="6">
        <f>CSO!E86</f>
        <v>0</v>
      </c>
      <c r="AE67" s="6">
        <f>CSO!F86</f>
        <v>0</v>
      </c>
      <c r="AF67" s="6">
        <f>CSO!G86</f>
        <v>0</v>
      </c>
      <c r="AG67" s="6">
        <f>CSO!H86</f>
        <v>0</v>
      </c>
      <c r="AH67" s="6">
        <f>CSO!I86</f>
        <v>0</v>
      </c>
      <c r="AI67" s="6">
        <f>CSO!J86</f>
        <v>0</v>
      </c>
      <c r="AJ67" s="6">
        <f>CSO!K86</f>
        <v>0</v>
      </c>
      <c r="AK67" s="6">
        <f>CSO!L86</f>
        <v>0</v>
      </c>
      <c r="AL67" s="6">
        <f>CSO!M86</f>
        <v>0</v>
      </c>
      <c r="AM67" s="6">
        <f>CSO!N86</f>
        <v>0</v>
      </c>
      <c r="AN67" s="6">
        <f>CSO!O86</f>
        <v>0</v>
      </c>
      <c r="AO67" s="6">
        <f>CSO!P86</f>
        <v>0</v>
      </c>
      <c r="AP67"/>
    </row>
    <row r="68" spans="1:42" s="2" customFormat="1" hidden="1" outlineLevel="1" x14ac:dyDescent="0.25">
      <c r="A68" s="145">
        <v>6300</v>
      </c>
      <c r="B68" s="18" t="s">
        <v>478</v>
      </c>
      <c r="D68" s="154">
        <f t="shared" si="27"/>
        <v>2800</v>
      </c>
      <c r="E68" s="154">
        <f t="shared" si="16"/>
        <v>2800</v>
      </c>
      <c r="F68" s="154">
        <f t="shared" si="17"/>
        <v>2900</v>
      </c>
      <c r="G68" s="154">
        <f t="shared" si="18"/>
        <v>2900</v>
      </c>
      <c r="H68" s="154">
        <f t="shared" si="19"/>
        <v>2900</v>
      </c>
      <c r="I68" s="154">
        <f t="shared" si="20"/>
        <v>2900</v>
      </c>
      <c r="J68" s="154">
        <f t="shared" si="21"/>
        <v>2900</v>
      </c>
      <c r="K68" s="154">
        <f t="shared" si="22"/>
        <v>2900</v>
      </c>
      <c r="L68" s="154">
        <f t="shared" si="23"/>
        <v>2900</v>
      </c>
      <c r="M68" s="154">
        <f t="shared" si="24"/>
        <v>2900</v>
      </c>
      <c r="N68" s="154">
        <f t="shared" si="25"/>
        <v>2900</v>
      </c>
      <c r="O68" s="154">
        <f t="shared" si="26"/>
        <v>2900</v>
      </c>
      <c r="Q68" s="59">
        <f>'School Rollup'!D68</f>
        <v>2800</v>
      </c>
      <c r="R68" s="59">
        <f>'School Rollup'!E68</f>
        <v>2800</v>
      </c>
      <c r="S68" s="59">
        <f>'School Rollup'!F68</f>
        <v>2900</v>
      </c>
      <c r="T68" s="59">
        <f>'School Rollup'!G68</f>
        <v>2900</v>
      </c>
      <c r="U68" s="59">
        <f>'School Rollup'!H68</f>
        <v>2900</v>
      </c>
      <c r="V68" s="59">
        <f>'School Rollup'!I68</f>
        <v>2900</v>
      </c>
      <c r="W68" s="59">
        <f>'School Rollup'!J68</f>
        <v>2900</v>
      </c>
      <c r="X68" s="59">
        <f>'School Rollup'!K68</f>
        <v>2900</v>
      </c>
      <c r="Y68" s="59">
        <f>'School Rollup'!L68</f>
        <v>2900</v>
      </c>
      <c r="Z68" s="59">
        <f>'School Rollup'!M68</f>
        <v>2900</v>
      </c>
      <c r="AA68" s="59">
        <f>'School Rollup'!N68</f>
        <v>2900</v>
      </c>
      <c r="AB68" s="59">
        <f>'School Rollup'!O68</f>
        <v>2900</v>
      </c>
      <c r="AC68"/>
      <c r="AD68" s="6">
        <f>CSO!E87</f>
        <v>0</v>
      </c>
      <c r="AE68" s="6">
        <f>CSO!F87</f>
        <v>0</v>
      </c>
      <c r="AF68" s="6">
        <f>CSO!G87</f>
        <v>0</v>
      </c>
      <c r="AG68" s="6">
        <f>CSO!H87</f>
        <v>0</v>
      </c>
      <c r="AH68" s="6">
        <f>CSO!I87</f>
        <v>0</v>
      </c>
      <c r="AI68" s="6">
        <f>CSO!J87</f>
        <v>0</v>
      </c>
      <c r="AJ68" s="6">
        <f>CSO!K87</f>
        <v>0</v>
      </c>
      <c r="AK68" s="6">
        <f>CSO!L87</f>
        <v>0</v>
      </c>
      <c r="AL68" s="6">
        <f>CSO!M87</f>
        <v>0</v>
      </c>
      <c r="AM68" s="6">
        <f>CSO!N87</f>
        <v>0</v>
      </c>
      <c r="AN68" s="6">
        <f>CSO!O87</f>
        <v>0</v>
      </c>
      <c r="AO68" s="6">
        <f>CSO!P87</f>
        <v>0</v>
      </c>
      <c r="AP68"/>
    </row>
    <row r="69" spans="1:42" s="2" customFormat="1" hidden="1" outlineLevel="1" x14ac:dyDescent="0.25">
      <c r="A69" s="145">
        <v>6300</v>
      </c>
      <c r="B69" s="18" t="s">
        <v>479</v>
      </c>
      <c r="D69" s="154">
        <f t="shared" si="27"/>
        <v>1625</v>
      </c>
      <c r="E69" s="154">
        <f t="shared" si="16"/>
        <v>1625</v>
      </c>
      <c r="F69" s="154">
        <f t="shared" si="17"/>
        <v>1875</v>
      </c>
      <c r="G69" s="154">
        <f t="shared" si="18"/>
        <v>1875</v>
      </c>
      <c r="H69" s="154">
        <f t="shared" si="19"/>
        <v>1875</v>
      </c>
      <c r="I69" s="154">
        <f t="shared" si="20"/>
        <v>1875</v>
      </c>
      <c r="J69" s="154">
        <f t="shared" si="21"/>
        <v>1875</v>
      </c>
      <c r="K69" s="154">
        <f t="shared" si="22"/>
        <v>1875</v>
      </c>
      <c r="L69" s="154">
        <f t="shared" si="23"/>
        <v>1875</v>
      </c>
      <c r="M69" s="154">
        <f t="shared" si="24"/>
        <v>1875</v>
      </c>
      <c r="N69" s="154">
        <f t="shared" si="25"/>
        <v>1875</v>
      </c>
      <c r="O69" s="154">
        <f t="shared" si="26"/>
        <v>1875</v>
      </c>
      <c r="Q69" s="59">
        <f>'School Rollup'!D69</f>
        <v>1625</v>
      </c>
      <c r="R69" s="59">
        <f>'School Rollup'!E69</f>
        <v>1625</v>
      </c>
      <c r="S69" s="59">
        <f>'School Rollup'!F69</f>
        <v>1875</v>
      </c>
      <c r="T69" s="59">
        <f>'School Rollup'!G69</f>
        <v>1875</v>
      </c>
      <c r="U69" s="59">
        <f>'School Rollup'!H69</f>
        <v>1875</v>
      </c>
      <c r="V69" s="59">
        <f>'School Rollup'!I69</f>
        <v>1875</v>
      </c>
      <c r="W69" s="59">
        <f>'School Rollup'!J69</f>
        <v>1875</v>
      </c>
      <c r="X69" s="59">
        <f>'School Rollup'!K69</f>
        <v>1875</v>
      </c>
      <c r="Y69" s="59">
        <f>'School Rollup'!L69</f>
        <v>1875</v>
      </c>
      <c r="Z69" s="59">
        <f>'School Rollup'!M69</f>
        <v>1875</v>
      </c>
      <c r="AA69" s="59">
        <f>'School Rollup'!N69</f>
        <v>1875</v>
      </c>
      <c r="AB69" s="59">
        <f>'School Rollup'!O69</f>
        <v>1875</v>
      </c>
      <c r="AC69"/>
      <c r="AD69" s="6">
        <f>CSO!E88</f>
        <v>0</v>
      </c>
      <c r="AE69" s="6">
        <f>CSO!F88</f>
        <v>0</v>
      </c>
      <c r="AF69" s="6">
        <f>CSO!G88</f>
        <v>0</v>
      </c>
      <c r="AG69" s="6">
        <f>CSO!H88</f>
        <v>0</v>
      </c>
      <c r="AH69" s="6">
        <f>CSO!I88</f>
        <v>0</v>
      </c>
      <c r="AI69" s="6">
        <f>CSO!J88</f>
        <v>0</v>
      </c>
      <c r="AJ69" s="6">
        <f>CSO!K88</f>
        <v>0</v>
      </c>
      <c r="AK69" s="6">
        <f>CSO!L88</f>
        <v>0</v>
      </c>
      <c r="AL69" s="6">
        <f>CSO!M88</f>
        <v>0</v>
      </c>
      <c r="AM69" s="6">
        <f>CSO!N88</f>
        <v>0</v>
      </c>
      <c r="AN69" s="6">
        <f>CSO!O88</f>
        <v>0</v>
      </c>
      <c r="AO69" s="6">
        <f>CSO!P88</f>
        <v>0</v>
      </c>
      <c r="AP69"/>
    </row>
    <row r="70" spans="1:42" s="2" customFormat="1" hidden="1" outlineLevel="1" x14ac:dyDescent="0.25">
      <c r="A70" s="145">
        <v>6300</v>
      </c>
      <c r="B70" s="18" t="s">
        <v>480</v>
      </c>
      <c r="D70" s="154">
        <f t="shared" si="27"/>
        <v>2410</v>
      </c>
      <c r="E70" s="154">
        <f t="shared" si="16"/>
        <v>2410</v>
      </c>
      <c r="F70" s="154">
        <f t="shared" si="17"/>
        <v>2570</v>
      </c>
      <c r="G70" s="154">
        <f t="shared" si="18"/>
        <v>2570</v>
      </c>
      <c r="H70" s="154">
        <f t="shared" si="19"/>
        <v>2570</v>
      </c>
      <c r="I70" s="154">
        <f t="shared" si="20"/>
        <v>2570</v>
      </c>
      <c r="J70" s="154">
        <f t="shared" si="21"/>
        <v>2570</v>
      </c>
      <c r="K70" s="154">
        <f t="shared" si="22"/>
        <v>2570</v>
      </c>
      <c r="L70" s="154">
        <f t="shared" si="23"/>
        <v>2570</v>
      </c>
      <c r="M70" s="154">
        <f t="shared" si="24"/>
        <v>2570</v>
      </c>
      <c r="N70" s="154">
        <f t="shared" si="25"/>
        <v>2570</v>
      </c>
      <c r="O70" s="154">
        <f t="shared" si="26"/>
        <v>2570</v>
      </c>
      <c r="Q70" s="59">
        <f>'School Rollup'!D70</f>
        <v>2410</v>
      </c>
      <c r="R70" s="59">
        <f>'School Rollup'!E70</f>
        <v>2410</v>
      </c>
      <c r="S70" s="59">
        <f>'School Rollup'!F70</f>
        <v>2570</v>
      </c>
      <c r="T70" s="59">
        <f>'School Rollup'!G70</f>
        <v>2570</v>
      </c>
      <c r="U70" s="59">
        <f>'School Rollup'!H70</f>
        <v>2570</v>
      </c>
      <c r="V70" s="59">
        <f>'School Rollup'!I70</f>
        <v>2570</v>
      </c>
      <c r="W70" s="59">
        <f>'School Rollup'!J70</f>
        <v>2570</v>
      </c>
      <c r="X70" s="59">
        <f>'School Rollup'!K70</f>
        <v>2570</v>
      </c>
      <c r="Y70" s="59">
        <f>'School Rollup'!L70</f>
        <v>2570</v>
      </c>
      <c r="Z70" s="59">
        <f>'School Rollup'!M70</f>
        <v>2570</v>
      </c>
      <c r="AA70" s="59">
        <f>'School Rollup'!N70</f>
        <v>2570</v>
      </c>
      <c r="AB70" s="59">
        <f>'School Rollup'!O70</f>
        <v>2570</v>
      </c>
      <c r="AC70"/>
      <c r="AD70" s="6">
        <f>CSO!E89</f>
        <v>0</v>
      </c>
      <c r="AE70" s="6">
        <f>CSO!F89</f>
        <v>0</v>
      </c>
      <c r="AF70" s="6">
        <f>CSO!G89</f>
        <v>0</v>
      </c>
      <c r="AG70" s="6">
        <f>CSO!H89</f>
        <v>0</v>
      </c>
      <c r="AH70" s="6">
        <f>CSO!I89</f>
        <v>0</v>
      </c>
      <c r="AI70" s="6">
        <f>CSO!J89</f>
        <v>0</v>
      </c>
      <c r="AJ70" s="6">
        <f>CSO!K89</f>
        <v>0</v>
      </c>
      <c r="AK70" s="6">
        <f>CSO!L89</f>
        <v>0</v>
      </c>
      <c r="AL70" s="6">
        <f>CSO!M89</f>
        <v>0</v>
      </c>
      <c r="AM70" s="6">
        <f>CSO!N89</f>
        <v>0</v>
      </c>
      <c r="AN70" s="6">
        <f>CSO!O89</f>
        <v>0</v>
      </c>
      <c r="AO70" s="6">
        <f>CSO!P89</f>
        <v>0</v>
      </c>
      <c r="AP70"/>
    </row>
    <row r="71" spans="1:42" s="2" customFormat="1" hidden="1" outlineLevel="1" x14ac:dyDescent="0.25">
      <c r="A71" s="145">
        <v>6300</v>
      </c>
      <c r="B71" s="18" t="s">
        <v>483</v>
      </c>
      <c r="D71" s="154">
        <f t="shared" si="27"/>
        <v>29790</v>
      </c>
      <c r="E71" s="154">
        <f t="shared" si="16"/>
        <v>29790</v>
      </c>
      <c r="F71" s="154">
        <f t="shared" si="17"/>
        <v>30230</v>
      </c>
      <c r="G71" s="154">
        <f t="shared" si="18"/>
        <v>30230</v>
      </c>
      <c r="H71" s="154">
        <f t="shared" si="19"/>
        <v>30230</v>
      </c>
      <c r="I71" s="154">
        <f t="shared" si="20"/>
        <v>30230</v>
      </c>
      <c r="J71" s="154">
        <f t="shared" si="21"/>
        <v>30230</v>
      </c>
      <c r="K71" s="154">
        <f t="shared" si="22"/>
        <v>30230</v>
      </c>
      <c r="L71" s="154">
        <f t="shared" si="23"/>
        <v>30230</v>
      </c>
      <c r="M71" s="154">
        <f t="shared" si="24"/>
        <v>30230</v>
      </c>
      <c r="N71" s="154">
        <f t="shared" si="25"/>
        <v>30230</v>
      </c>
      <c r="O71" s="154">
        <f t="shared" si="26"/>
        <v>30230</v>
      </c>
      <c r="Q71" s="59">
        <f>'School Rollup'!D71</f>
        <v>3790</v>
      </c>
      <c r="R71" s="59">
        <f>'School Rollup'!E71</f>
        <v>3790</v>
      </c>
      <c r="S71" s="59">
        <f>'School Rollup'!F71</f>
        <v>4230</v>
      </c>
      <c r="T71" s="59">
        <f>'School Rollup'!G71</f>
        <v>4230</v>
      </c>
      <c r="U71" s="59">
        <f>'School Rollup'!H71</f>
        <v>4230</v>
      </c>
      <c r="V71" s="59">
        <f>'School Rollup'!I71</f>
        <v>4230</v>
      </c>
      <c r="W71" s="59">
        <f>'School Rollup'!J71</f>
        <v>4230</v>
      </c>
      <c r="X71" s="59">
        <f>'School Rollup'!K71</f>
        <v>4230</v>
      </c>
      <c r="Y71" s="59">
        <f>'School Rollup'!L71</f>
        <v>4230</v>
      </c>
      <c r="Z71" s="59">
        <f>'School Rollup'!M71</f>
        <v>4230</v>
      </c>
      <c r="AA71" s="59">
        <f>'School Rollup'!N71</f>
        <v>4230</v>
      </c>
      <c r="AB71" s="59">
        <f>'School Rollup'!O71</f>
        <v>4230</v>
      </c>
      <c r="AC71"/>
      <c r="AD71" s="6">
        <f>CSO!E90</f>
        <v>26000</v>
      </c>
      <c r="AE71" s="6">
        <f>CSO!F90</f>
        <v>26000</v>
      </c>
      <c r="AF71" s="6">
        <f>CSO!G90</f>
        <v>26000</v>
      </c>
      <c r="AG71" s="6">
        <f>CSO!H90</f>
        <v>26000</v>
      </c>
      <c r="AH71" s="6">
        <f>CSO!I90</f>
        <v>26000</v>
      </c>
      <c r="AI71" s="6">
        <f>CSO!J90</f>
        <v>26000</v>
      </c>
      <c r="AJ71" s="6">
        <f>CSO!K90</f>
        <v>26000</v>
      </c>
      <c r="AK71" s="6">
        <f>CSO!L90</f>
        <v>26000</v>
      </c>
      <c r="AL71" s="6">
        <f>CSO!M90</f>
        <v>26000</v>
      </c>
      <c r="AM71" s="6">
        <f>CSO!N90</f>
        <v>26000</v>
      </c>
      <c r="AN71" s="6">
        <f>CSO!O90</f>
        <v>26000</v>
      </c>
      <c r="AO71" s="6">
        <f>CSO!P90</f>
        <v>26000</v>
      </c>
      <c r="AP71"/>
    </row>
    <row r="72" spans="1:42" s="2" customFormat="1" hidden="1" outlineLevel="1" x14ac:dyDescent="0.25">
      <c r="A72" s="145">
        <v>6300</v>
      </c>
      <c r="B72" s="18" t="s">
        <v>519</v>
      </c>
      <c r="D72" s="154">
        <f t="shared" si="27"/>
        <v>1000</v>
      </c>
      <c r="E72" s="154">
        <f t="shared" si="16"/>
        <v>1000</v>
      </c>
      <c r="F72" s="154">
        <f t="shared" si="17"/>
        <v>1000</v>
      </c>
      <c r="G72" s="154">
        <f t="shared" si="18"/>
        <v>1000</v>
      </c>
      <c r="H72" s="154">
        <f t="shared" si="19"/>
        <v>1000</v>
      </c>
      <c r="I72" s="154">
        <f t="shared" si="20"/>
        <v>1000</v>
      </c>
      <c r="J72" s="154">
        <f t="shared" si="21"/>
        <v>1000</v>
      </c>
      <c r="K72" s="154">
        <f t="shared" si="22"/>
        <v>1000</v>
      </c>
      <c r="L72" s="154">
        <f t="shared" si="23"/>
        <v>1000</v>
      </c>
      <c r="M72" s="154">
        <f t="shared" si="24"/>
        <v>1000</v>
      </c>
      <c r="N72" s="154">
        <f t="shared" si="25"/>
        <v>1000</v>
      </c>
      <c r="O72" s="154">
        <f t="shared" si="26"/>
        <v>1000</v>
      </c>
      <c r="Q72" s="59">
        <f>'School Rollup'!D72</f>
        <v>0</v>
      </c>
      <c r="R72" s="59">
        <f>'School Rollup'!E72</f>
        <v>0</v>
      </c>
      <c r="S72" s="59">
        <f>'School Rollup'!F72</f>
        <v>0</v>
      </c>
      <c r="T72" s="59">
        <f>'School Rollup'!G72</f>
        <v>0</v>
      </c>
      <c r="U72" s="59">
        <f>'School Rollup'!H72</f>
        <v>0</v>
      </c>
      <c r="V72" s="59">
        <f>'School Rollup'!I72</f>
        <v>0</v>
      </c>
      <c r="W72" s="59">
        <f>'School Rollup'!J72</f>
        <v>0</v>
      </c>
      <c r="X72" s="59">
        <f>'School Rollup'!K72</f>
        <v>0</v>
      </c>
      <c r="Y72" s="59">
        <f>'School Rollup'!L72</f>
        <v>0</v>
      </c>
      <c r="Z72" s="59">
        <f>'School Rollup'!M72</f>
        <v>0</v>
      </c>
      <c r="AA72" s="59">
        <f>'School Rollup'!N72</f>
        <v>0</v>
      </c>
      <c r="AB72" s="59">
        <f>'School Rollup'!O72</f>
        <v>0</v>
      </c>
      <c r="AC72"/>
      <c r="AD72" s="6">
        <f>CSO!E91</f>
        <v>1000</v>
      </c>
      <c r="AE72" s="6">
        <f>CSO!F91</f>
        <v>1000</v>
      </c>
      <c r="AF72" s="6">
        <f>CSO!G91</f>
        <v>1000</v>
      </c>
      <c r="AG72" s="6">
        <f>CSO!H91</f>
        <v>1000</v>
      </c>
      <c r="AH72" s="6">
        <f>CSO!I91</f>
        <v>1000</v>
      </c>
      <c r="AI72" s="6">
        <f>CSO!J91</f>
        <v>1000</v>
      </c>
      <c r="AJ72" s="6">
        <f>CSO!K91</f>
        <v>1000</v>
      </c>
      <c r="AK72" s="6">
        <f>CSO!L91</f>
        <v>1000</v>
      </c>
      <c r="AL72" s="6">
        <f>CSO!M91</f>
        <v>1000</v>
      </c>
      <c r="AM72" s="6">
        <f>CSO!N91</f>
        <v>1000</v>
      </c>
      <c r="AN72" s="6">
        <f>CSO!O91</f>
        <v>1000</v>
      </c>
      <c r="AO72" s="6">
        <f>CSO!P91</f>
        <v>1000</v>
      </c>
      <c r="AP72"/>
    </row>
    <row r="73" spans="1:42" s="264" customFormat="1" collapsed="1" x14ac:dyDescent="0.25">
      <c r="A73" s="283">
        <v>300</v>
      </c>
      <c r="B73" s="275" t="s">
        <v>430</v>
      </c>
      <c r="D73" s="265">
        <f t="shared" si="27"/>
        <v>43945</v>
      </c>
      <c r="E73" s="265">
        <f t="shared" si="16"/>
        <v>44103</v>
      </c>
      <c r="F73" s="265">
        <f t="shared" si="17"/>
        <v>45157</v>
      </c>
      <c r="G73" s="265">
        <f t="shared" si="18"/>
        <v>45232</v>
      </c>
      <c r="H73" s="265">
        <f t="shared" si="19"/>
        <v>45312</v>
      </c>
      <c r="I73" s="265">
        <f t="shared" si="20"/>
        <v>45397</v>
      </c>
      <c r="J73" s="265">
        <f t="shared" si="21"/>
        <v>45486</v>
      </c>
      <c r="K73" s="265">
        <f t="shared" si="22"/>
        <v>45577</v>
      </c>
      <c r="L73" s="265">
        <f t="shared" si="23"/>
        <v>45678</v>
      </c>
      <c r="M73" s="265">
        <f t="shared" si="24"/>
        <v>45780</v>
      </c>
      <c r="N73" s="265">
        <f t="shared" si="25"/>
        <v>45884</v>
      </c>
      <c r="O73" s="265">
        <f t="shared" si="26"/>
        <v>45996</v>
      </c>
      <c r="Q73" s="266">
        <f>'School Rollup'!D73</f>
        <v>11945</v>
      </c>
      <c r="R73" s="266">
        <f>'School Rollup'!E73</f>
        <v>12103</v>
      </c>
      <c r="S73" s="266">
        <f>'School Rollup'!F73</f>
        <v>13157</v>
      </c>
      <c r="T73" s="266">
        <f>'School Rollup'!G73</f>
        <v>13232</v>
      </c>
      <c r="U73" s="266">
        <f>'School Rollup'!H73</f>
        <v>13312</v>
      </c>
      <c r="V73" s="266">
        <f>'School Rollup'!I73</f>
        <v>13397</v>
      </c>
      <c r="W73" s="266">
        <f>'School Rollup'!J73</f>
        <v>13486</v>
      </c>
      <c r="X73" s="266">
        <f>'School Rollup'!K73</f>
        <v>13577</v>
      </c>
      <c r="Y73" s="266">
        <f>'School Rollup'!L73</f>
        <v>13678</v>
      </c>
      <c r="Z73" s="266">
        <f>'School Rollup'!M73</f>
        <v>13780</v>
      </c>
      <c r="AA73" s="266">
        <f>'School Rollup'!N73</f>
        <v>13884</v>
      </c>
      <c r="AB73" s="266">
        <f>'School Rollup'!O73</f>
        <v>13996</v>
      </c>
      <c r="AC73" s="267"/>
      <c r="AD73" s="268">
        <f>CSO!E92</f>
        <v>32000</v>
      </c>
      <c r="AE73" s="268">
        <f>CSO!F92</f>
        <v>32000</v>
      </c>
      <c r="AF73" s="268">
        <f>CSO!G92</f>
        <v>32000</v>
      </c>
      <c r="AG73" s="268">
        <f>CSO!H92</f>
        <v>32000</v>
      </c>
      <c r="AH73" s="268">
        <f>CSO!I92</f>
        <v>32000</v>
      </c>
      <c r="AI73" s="268">
        <f>CSO!J92</f>
        <v>32000</v>
      </c>
      <c r="AJ73" s="268">
        <f>CSO!K92</f>
        <v>32000</v>
      </c>
      <c r="AK73" s="268">
        <f>CSO!L92</f>
        <v>32000</v>
      </c>
      <c r="AL73" s="268">
        <f>CSO!M92</f>
        <v>32000</v>
      </c>
      <c r="AM73" s="268">
        <f>CSO!N92</f>
        <v>32000</v>
      </c>
      <c r="AN73" s="268">
        <f>CSO!O92</f>
        <v>32000</v>
      </c>
      <c r="AO73" s="268">
        <f>CSO!P92</f>
        <v>32000</v>
      </c>
      <c r="AP73" s="267"/>
    </row>
    <row r="74" spans="1:42" s="2" customFormat="1" hidden="1" outlineLevel="1" x14ac:dyDescent="0.25">
      <c r="A74" s="145">
        <v>6320</v>
      </c>
      <c r="B74" s="18" t="s">
        <v>432</v>
      </c>
      <c r="D74" s="154">
        <f t="shared" si="27"/>
        <v>24000</v>
      </c>
      <c r="E74" s="154">
        <f t="shared" si="16"/>
        <v>24000</v>
      </c>
      <c r="F74" s="154">
        <f t="shared" si="17"/>
        <v>24000</v>
      </c>
      <c r="G74" s="154">
        <f t="shared" si="18"/>
        <v>24000</v>
      </c>
      <c r="H74" s="154">
        <f t="shared" si="19"/>
        <v>24000</v>
      </c>
      <c r="I74" s="154">
        <f t="shared" si="20"/>
        <v>24000</v>
      </c>
      <c r="J74" s="154">
        <f t="shared" si="21"/>
        <v>24000</v>
      </c>
      <c r="K74" s="154">
        <f t="shared" si="22"/>
        <v>24000</v>
      </c>
      <c r="L74" s="154">
        <f t="shared" si="23"/>
        <v>24000</v>
      </c>
      <c r="M74" s="154">
        <f t="shared" si="24"/>
        <v>24000</v>
      </c>
      <c r="N74" s="154">
        <f t="shared" si="25"/>
        <v>24000</v>
      </c>
      <c r="O74" s="154">
        <f t="shared" si="26"/>
        <v>24000</v>
      </c>
      <c r="Q74" s="59">
        <f>'School Rollup'!D74</f>
        <v>0</v>
      </c>
      <c r="R74" s="59">
        <f>'School Rollup'!E74</f>
        <v>0</v>
      </c>
      <c r="S74" s="59">
        <f>'School Rollup'!F74</f>
        <v>0</v>
      </c>
      <c r="T74" s="59">
        <f>'School Rollup'!G74</f>
        <v>0</v>
      </c>
      <c r="U74" s="59">
        <f>'School Rollup'!H74</f>
        <v>0</v>
      </c>
      <c r="V74" s="59">
        <f>'School Rollup'!I74</f>
        <v>0</v>
      </c>
      <c r="W74" s="59">
        <f>'School Rollup'!J74</f>
        <v>0</v>
      </c>
      <c r="X74" s="59">
        <f>'School Rollup'!K74</f>
        <v>0</v>
      </c>
      <c r="Y74" s="59">
        <f>'School Rollup'!L74</f>
        <v>0</v>
      </c>
      <c r="Z74" s="59">
        <f>'School Rollup'!M74</f>
        <v>0</v>
      </c>
      <c r="AA74" s="59">
        <f>'School Rollup'!N74</f>
        <v>0</v>
      </c>
      <c r="AB74" s="59">
        <f>'School Rollup'!O74</f>
        <v>0</v>
      </c>
      <c r="AC74"/>
      <c r="AD74" s="6">
        <f>CSO!E93</f>
        <v>24000</v>
      </c>
      <c r="AE74" s="6">
        <f>CSO!F93</f>
        <v>24000</v>
      </c>
      <c r="AF74" s="6">
        <f>CSO!G93</f>
        <v>24000</v>
      </c>
      <c r="AG74" s="6">
        <f>CSO!H93</f>
        <v>24000</v>
      </c>
      <c r="AH74" s="6">
        <f>CSO!I93</f>
        <v>24000</v>
      </c>
      <c r="AI74" s="6">
        <f>CSO!J93</f>
        <v>24000</v>
      </c>
      <c r="AJ74" s="6">
        <f>CSO!K93</f>
        <v>24000</v>
      </c>
      <c r="AK74" s="6">
        <f>CSO!L93</f>
        <v>24000</v>
      </c>
      <c r="AL74" s="6">
        <f>CSO!M93</f>
        <v>24000</v>
      </c>
      <c r="AM74" s="6">
        <f>CSO!N93</f>
        <v>24000</v>
      </c>
      <c r="AN74" s="6">
        <f>CSO!O93</f>
        <v>24000</v>
      </c>
      <c r="AO74" s="6">
        <f>CSO!P93</f>
        <v>24000</v>
      </c>
      <c r="AP74"/>
    </row>
    <row r="75" spans="1:42" s="2" customFormat="1" hidden="1" outlineLevel="1" x14ac:dyDescent="0.25">
      <c r="A75" s="145">
        <v>6320</v>
      </c>
      <c r="B75" s="18" t="s">
        <v>431</v>
      </c>
      <c r="D75" s="154">
        <f t="shared" si="27"/>
        <v>1500</v>
      </c>
      <c r="E75" s="154">
        <f t="shared" si="16"/>
        <v>1500</v>
      </c>
      <c r="F75" s="154">
        <f t="shared" si="17"/>
        <v>1500</v>
      </c>
      <c r="G75" s="154">
        <f t="shared" si="18"/>
        <v>1500</v>
      </c>
      <c r="H75" s="154">
        <f t="shared" si="19"/>
        <v>1500</v>
      </c>
      <c r="I75" s="154">
        <f t="shared" si="20"/>
        <v>1500</v>
      </c>
      <c r="J75" s="154">
        <f t="shared" si="21"/>
        <v>1500</v>
      </c>
      <c r="K75" s="154">
        <f t="shared" si="22"/>
        <v>1500</v>
      </c>
      <c r="L75" s="154">
        <f t="shared" si="23"/>
        <v>1500</v>
      </c>
      <c r="M75" s="154">
        <f t="shared" si="24"/>
        <v>1500</v>
      </c>
      <c r="N75" s="154">
        <f t="shared" si="25"/>
        <v>1500</v>
      </c>
      <c r="O75" s="154">
        <f t="shared" si="26"/>
        <v>1500</v>
      </c>
      <c r="Q75" s="59">
        <f>'School Rollup'!D75</f>
        <v>0</v>
      </c>
      <c r="R75" s="59">
        <f>'School Rollup'!E75</f>
        <v>0</v>
      </c>
      <c r="S75" s="59">
        <f>'School Rollup'!F75</f>
        <v>0</v>
      </c>
      <c r="T75" s="59">
        <f>'School Rollup'!G75</f>
        <v>0</v>
      </c>
      <c r="U75" s="59">
        <f>'School Rollup'!H75</f>
        <v>0</v>
      </c>
      <c r="V75" s="59">
        <f>'School Rollup'!I75</f>
        <v>0</v>
      </c>
      <c r="W75" s="59">
        <f>'School Rollup'!J75</f>
        <v>0</v>
      </c>
      <c r="X75" s="59">
        <f>'School Rollup'!K75</f>
        <v>0</v>
      </c>
      <c r="Y75" s="59">
        <f>'School Rollup'!L75</f>
        <v>0</v>
      </c>
      <c r="Z75" s="59">
        <f>'School Rollup'!M75</f>
        <v>0</v>
      </c>
      <c r="AA75" s="59">
        <f>'School Rollup'!N75</f>
        <v>0</v>
      </c>
      <c r="AB75" s="59">
        <f>'School Rollup'!O75</f>
        <v>0</v>
      </c>
      <c r="AC75"/>
      <c r="AD75" s="6">
        <f>CSO!E94</f>
        <v>1500</v>
      </c>
      <c r="AE75" s="6">
        <f>CSO!F94</f>
        <v>1500</v>
      </c>
      <c r="AF75" s="6">
        <f>CSO!G94</f>
        <v>1500</v>
      </c>
      <c r="AG75" s="6">
        <f>CSO!H94</f>
        <v>1500</v>
      </c>
      <c r="AH75" s="6">
        <f>CSO!I94</f>
        <v>1500</v>
      </c>
      <c r="AI75" s="6">
        <f>CSO!J94</f>
        <v>1500</v>
      </c>
      <c r="AJ75" s="6">
        <f>CSO!K94</f>
        <v>1500</v>
      </c>
      <c r="AK75" s="6">
        <f>CSO!L94</f>
        <v>1500</v>
      </c>
      <c r="AL75" s="6">
        <f>CSO!M94</f>
        <v>1500</v>
      </c>
      <c r="AM75" s="6">
        <f>CSO!N94</f>
        <v>1500</v>
      </c>
      <c r="AN75" s="6">
        <f>CSO!O94</f>
        <v>1500</v>
      </c>
      <c r="AO75" s="6">
        <f>CSO!P94</f>
        <v>1500</v>
      </c>
      <c r="AP75"/>
    </row>
    <row r="76" spans="1:42" s="2" customFormat="1" hidden="1" outlineLevel="1" x14ac:dyDescent="0.25">
      <c r="A76" s="145">
        <v>6320</v>
      </c>
      <c r="B76" s="18" t="s">
        <v>433</v>
      </c>
      <c r="D76" s="154">
        <f t="shared" si="27"/>
        <v>8000</v>
      </c>
      <c r="E76" s="154">
        <f t="shared" si="16"/>
        <v>8500</v>
      </c>
      <c r="F76" s="154">
        <f t="shared" si="17"/>
        <v>9500</v>
      </c>
      <c r="G76" s="154">
        <f t="shared" si="18"/>
        <v>11000</v>
      </c>
      <c r="H76" s="154">
        <f t="shared" si="19"/>
        <v>11000</v>
      </c>
      <c r="I76" s="154">
        <f t="shared" si="20"/>
        <v>11500</v>
      </c>
      <c r="J76" s="154">
        <f t="shared" si="21"/>
        <v>12000</v>
      </c>
      <c r="K76" s="154">
        <f t="shared" si="22"/>
        <v>12500</v>
      </c>
      <c r="L76" s="154">
        <f t="shared" si="23"/>
        <v>13000</v>
      </c>
      <c r="M76" s="154">
        <f t="shared" si="24"/>
        <v>13000</v>
      </c>
      <c r="N76" s="154">
        <f t="shared" si="25"/>
        <v>14000</v>
      </c>
      <c r="O76" s="154">
        <f t="shared" si="26"/>
        <v>14500</v>
      </c>
      <c r="Q76" s="59">
        <f>'School Rollup'!D76</f>
        <v>8000</v>
      </c>
      <c r="R76" s="59">
        <f>'School Rollup'!E76</f>
        <v>8500</v>
      </c>
      <c r="S76" s="59">
        <f>'School Rollup'!F76</f>
        <v>9500</v>
      </c>
      <c r="T76" s="59">
        <f>'School Rollup'!G76</f>
        <v>11000</v>
      </c>
      <c r="U76" s="59">
        <f>'School Rollup'!H76</f>
        <v>11000</v>
      </c>
      <c r="V76" s="59">
        <f>'School Rollup'!I76</f>
        <v>11500</v>
      </c>
      <c r="W76" s="59">
        <f>'School Rollup'!J76</f>
        <v>12000</v>
      </c>
      <c r="X76" s="59">
        <f>'School Rollup'!K76</f>
        <v>12500</v>
      </c>
      <c r="Y76" s="59">
        <f>'School Rollup'!L76</f>
        <v>13000</v>
      </c>
      <c r="Z76" s="59">
        <f>'School Rollup'!M76</f>
        <v>13000</v>
      </c>
      <c r="AA76" s="59">
        <f>'School Rollup'!N76</f>
        <v>14000</v>
      </c>
      <c r="AB76" s="59">
        <f>'School Rollup'!O76</f>
        <v>14500</v>
      </c>
      <c r="AC76"/>
      <c r="AD76" s="6">
        <f>CSO!E95</f>
        <v>0</v>
      </c>
      <c r="AE76" s="6">
        <f>CSO!F95</f>
        <v>0</v>
      </c>
      <c r="AF76" s="6">
        <f>CSO!G95</f>
        <v>0</v>
      </c>
      <c r="AG76" s="6">
        <f>CSO!H95</f>
        <v>0</v>
      </c>
      <c r="AH76" s="6">
        <f>CSO!I95</f>
        <v>0</v>
      </c>
      <c r="AI76" s="6">
        <f>CSO!J95</f>
        <v>0</v>
      </c>
      <c r="AJ76" s="6">
        <f>CSO!K95</f>
        <v>0</v>
      </c>
      <c r="AK76" s="6">
        <f>CSO!L95</f>
        <v>0</v>
      </c>
      <c r="AL76" s="6">
        <f>CSO!M95</f>
        <v>0</v>
      </c>
      <c r="AM76" s="6">
        <f>CSO!N95</f>
        <v>0</v>
      </c>
      <c r="AN76" s="6">
        <f>CSO!O95</f>
        <v>0</v>
      </c>
      <c r="AO76" s="6">
        <f>CSO!P95</f>
        <v>0</v>
      </c>
      <c r="AP76"/>
    </row>
    <row r="77" spans="1:42" s="2" customFormat="1" collapsed="1" x14ac:dyDescent="0.25">
      <c r="A77" s="283">
        <v>320</v>
      </c>
      <c r="B77" s="275" t="s">
        <v>434</v>
      </c>
      <c r="D77" s="265">
        <f t="shared" si="27"/>
        <v>33500</v>
      </c>
      <c r="E77" s="265">
        <f t="shared" si="16"/>
        <v>34000</v>
      </c>
      <c r="F77" s="265">
        <f t="shared" si="17"/>
        <v>35000</v>
      </c>
      <c r="G77" s="265">
        <f t="shared" si="18"/>
        <v>36500</v>
      </c>
      <c r="H77" s="265">
        <f t="shared" si="19"/>
        <v>36500</v>
      </c>
      <c r="I77" s="265">
        <f t="shared" si="20"/>
        <v>37000</v>
      </c>
      <c r="J77" s="265">
        <f t="shared" si="21"/>
        <v>37500</v>
      </c>
      <c r="K77" s="265">
        <f t="shared" si="22"/>
        <v>38000</v>
      </c>
      <c r="L77" s="265">
        <f t="shared" si="23"/>
        <v>38500</v>
      </c>
      <c r="M77" s="265">
        <f t="shared" si="24"/>
        <v>38500</v>
      </c>
      <c r="N77" s="265">
        <f t="shared" si="25"/>
        <v>39500</v>
      </c>
      <c r="O77" s="265">
        <f t="shared" si="26"/>
        <v>40000</v>
      </c>
      <c r="Q77" s="52">
        <f>'School Rollup'!D77</f>
        <v>8000</v>
      </c>
      <c r="R77" s="52">
        <f>'School Rollup'!E77</f>
        <v>8500</v>
      </c>
      <c r="S77" s="52">
        <f>'School Rollup'!F77</f>
        <v>9500</v>
      </c>
      <c r="T77" s="52">
        <f>'School Rollup'!G77</f>
        <v>11000</v>
      </c>
      <c r="U77" s="52">
        <f>'School Rollup'!H77</f>
        <v>11000</v>
      </c>
      <c r="V77" s="52">
        <f>'School Rollup'!I77</f>
        <v>11500</v>
      </c>
      <c r="W77" s="52">
        <f>'School Rollup'!J77</f>
        <v>12000</v>
      </c>
      <c r="X77" s="52">
        <f>'School Rollup'!K77</f>
        <v>12500</v>
      </c>
      <c r="Y77" s="52">
        <f>'School Rollup'!L77</f>
        <v>13000</v>
      </c>
      <c r="Z77" s="52">
        <f>'School Rollup'!M77</f>
        <v>13000</v>
      </c>
      <c r="AA77" s="52">
        <f>'School Rollup'!N77</f>
        <v>14000</v>
      </c>
      <c r="AB77" s="52">
        <f>'School Rollup'!O77</f>
        <v>14500</v>
      </c>
      <c r="AC77"/>
      <c r="AD77" s="32">
        <f>CSO!E96</f>
        <v>25500</v>
      </c>
      <c r="AE77" s="32">
        <f>CSO!F96</f>
        <v>25500</v>
      </c>
      <c r="AF77" s="32">
        <f>CSO!G96</f>
        <v>25500</v>
      </c>
      <c r="AG77" s="32">
        <f>CSO!H96</f>
        <v>25500</v>
      </c>
      <c r="AH77" s="32">
        <f>CSO!I96</f>
        <v>25500</v>
      </c>
      <c r="AI77" s="32">
        <f>CSO!J96</f>
        <v>25500</v>
      </c>
      <c r="AJ77" s="32">
        <f>CSO!K96</f>
        <v>25500</v>
      </c>
      <c r="AK77" s="32">
        <f>CSO!L96</f>
        <v>25500</v>
      </c>
      <c r="AL77" s="32">
        <f>CSO!M96</f>
        <v>25500</v>
      </c>
      <c r="AM77" s="32">
        <f>CSO!N96</f>
        <v>25500</v>
      </c>
      <c r="AN77" s="32">
        <f>CSO!O96</f>
        <v>25500</v>
      </c>
      <c r="AO77" s="32">
        <f>CSO!P96</f>
        <v>25500</v>
      </c>
      <c r="AP77"/>
    </row>
    <row r="78" spans="1:42" s="2" customFormat="1" hidden="1" outlineLevel="1" x14ac:dyDescent="0.25">
      <c r="A78" s="145">
        <v>6331</v>
      </c>
      <c r="B78" s="18" t="s">
        <v>436</v>
      </c>
      <c r="D78" s="154">
        <f t="shared" si="27"/>
        <v>1500</v>
      </c>
      <c r="E78" s="154">
        <f t="shared" si="16"/>
        <v>1500</v>
      </c>
      <c r="F78" s="154">
        <f t="shared" si="17"/>
        <v>1875</v>
      </c>
      <c r="G78" s="154">
        <f t="shared" si="18"/>
        <v>1875</v>
      </c>
      <c r="H78" s="154">
        <f t="shared" si="19"/>
        <v>1875</v>
      </c>
      <c r="I78" s="154">
        <f t="shared" si="20"/>
        <v>1875</v>
      </c>
      <c r="J78" s="154">
        <f t="shared" si="21"/>
        <v>1875</v>
      </c>
      <c r="K78" s="154">
        <f t="shared" si="22"/>
        <v>2125</v>
      </c>
      <c r="L78" s="154">
        <f t="shared" si="23"/>
        <v>2500</v>
      </c>
      <c r="M78" s="154">
        <f t="shared" si="24"/>
        <v>2875</v>
      </c>
      <c r="N78" s="154">
        <f t="shared" si="25"/>
        <v>2875</v>
      </c>
      <c r="O78" s="154">
        <f t="shared" si="26"/>
        <v>2875</v>
      </c>
      <c r="Q78" s="59">
        <f>'School Rollup'!D78</f>
        <v>1500</v>
      </c>
      <c r="R78" s="59">
        <f>'School Rollup'!E78</f>
        <v>1500</v>
      </c>
      <c r="S78" s="59">
        <f>'School Rollup'!F78</f>
        <v>1875</v>
      </c>
      <c r="T78" s="59">
        <f>'School Rollup'!G78</f>
        <v>1875</v>
      </c>
      <c r="U78" s="59">
        <f>'School Rollup'!H78</f>
        <v>1875</v>
      </c>
      <c r="V78" s="59">
        <f>'School Rollup'!I78</f>
        <v>1875</v>
      </c>
      <c r="W78" s="59">
        <f>'School Rollup'!J78</f>
        <v>1875</v>
      </c>
      <c r="X78" s="59">
        <f>'School Rollup'!K78</f>
        <v>2125</v>
      </c>
      <c r="Y78" s="59">
        <f>'School Rollup'!L78</f>
        <v>2500</v>
      </c>
      <c r="Z78" s="59">
        <f>'School Rollup'!M78</f>
        <v>2875</v>
      </c>
      <c r="AA78" s="59">
        <f>'School Rollup'!N78</f>
        <v>2875</v>
      </c>
      <c r="AB78" s="59">
        <f>'School Rollup'!O78</f>
        <v>2875</v>
      </c>
      <c r="AC78"/>
      <c r="AD78" s="6">
        <f>CSO!E97</f>
        <v>0</v>
      </c>
      <c r="AE78" s="6">
        <f>CSO!F97</f>
        <v>0</v>
      </c>
      <c r="AF78" s="6">
        <f>CSO!G97</f>
        <v>0</v>
      </c>
      <c r="AG78" s="6">
        <f>CSO!H97</f>
        <v>0</v>
      </c>
      <c r="AH78" s="6">
        <f>CSO!I97</f>
        <v>0</v>
      </c>
      <c r="AI78" s="6">
        <f>CSO!J97</f>
        <v>0</v>
      </c>
      <c r="AJ78" s="6">
        <f>CSO!K97</f>
        <v>0</v>
      </c>
      <c r="AK78" s="6">
        <f>CSO!L97</f>
        <v>0</v>
      </c>
      <c r="AL78" s="6">
        <f>CSO!M97</f>
        <v>0</v>
      </c>
      <c r="AM78" s="6">
        <f>CSO!N97</f>
        <v>0</v>
      </c>
      <c r="AN78" s="6">
        <f>CSO!O97</f>
        <v>0</v>
      </c>
      <c r="AO78" s="6">
        <f>CSO!P97</f>
        <v>0</v>
      </c>
      <c r="AP78"/>
    </row>
    <row r="79" spans="1:42" s="2" customFormat="1" hidden="1" outlineLevel="1" x14ac:dyDescent="0.25">
      <c r="A79" s="145">
        <v>6333</v>
      </c>
      <c r="B79" s="18" t="s">
        <v>437</v>
      </c>
      <c r="D79" s="154">
        <f t="shared" si="27"/>
        <v>32000</v>
      </c>
      <c r="E79" s="154">
        <f t="shared" si="16"/>
        <v>12000</v>
      </c>
      <c r="F79" s="154">
        <f t="shared" si="17"/>
        <v>14000</v>
      </c>
      <c r="G79" s="154">
        <f t="shared" si="18"/>
        <v>14000</v>
      </c>
      <c r="H79" s="154">
        <f t="shared" si="19"/>
        <v>14000</v>
      </c>
      <c r="I79" s="154">
        <f t="shared" si="20"/>
        <v>14000</v>
      </c>
      <c r="J79" s="154">
        <f t="shared" si="21"/>
        <v>14000</v>
      </c>
      <c r="K79" s="154">
        <f t="shared" si="22"/>
        <v>14000</v>
      </c>
      <c r="L79" s="154">
        <f t="shared" si="23"/>
        <v>14000</v>
      </c>
      <c r="M79" s="154">
        <f t="shared" si="24"/>
        <v>14000</v>
      </c>
      <c r="N79" s="154">
        <f t="shared" si="25"/>
        <v>14000</v>
      </c>
      <c r="O79" s="154">
        <f t="shared" si="26"/>
        <v>14000</v>
      </c>
      <c r="Q79" s="59">
        <f>'School Rollup'!D79</f>
        <v>27500</v>
      </c>
      <c r="R79" s="59">
        <f>'School Rollup'!E79</f>
        <v>7500</v>
      </c>
      <c r="S79" s="59">
        <f>'School Rollup'!F79</f>
        <v>9500</v>
      </c>
      <c r="T79" s="59">
        <f>'School Rollup'!G79</f>
        <v>9500</v>
      </c>
      <c r="U79" s="59">
        <f>'School Rollup'!H79</f>
        <v>9500</v>
      </c>
      <c r="V79" s="59">
        <f>'School Rollup'!I79</f>
        <v>9500</v>
      </c>
      <c r="W79" s="59">
        <f>'School Rollup'!J79</f>
        <v>9500</v>
      </c>
      <c r="X79" s="59">
        <f>'School Rollup'!K79</f>
        <v>9500</v>
      </c>
      <c r="Y79" s="59">
        <f>'School Rollup'!L79</f>
        <v>9500</v>
      </c>
      <c r="Z79" s="59">
        <f>'School Rollup'!M79</f>
        <v>9500</v>
      </c>
      <c r="AA79" s="59">
        <f>'School Rollup'!N79</f>
        <v>9500</v>
      </c>
      <c r="AB79" s="59">
        <f>'School Rollup'!O79</f>
        <v>9500</v>
      </c>
      <c r="AC79"/>
      <c r="AD79" s="6">
        <f>CSO!E98</f>
        <v>4500</v>
      </c>
      <c r="AE79" s="6">
        <f>CSO!F98</f>
        <v>4500</v>
      </c>
      <c r="AF79" s="6">
        <f>CSO!G98</f>
        <v>4500</v>
      </c>
      <c r="AG79" s="6">
        <f>CSO!H98</f>
        <v>4500</v>
      </c>
      <c r="AH79" s="6">
        <f>CSO!I98</f>
        <v>4500</v>
      </c>
      <c r="AI79" s="6">
        <f>CSO!J98</f>
        <v>4500</v>
      </c>
      <c r="AJ79" s="6">
        <f>CSO!K98</f>
        <v>4500</v>
      </c>
      <c r="AK79" s="6">
        <f>CSO!L98</f>
        <v>4500</v>
      </c>
      <c r="AL79" s="6">
        <f>CSO!M98</f>
        <v>4500</v>
      </c>
      <c r="AM79" s="6">
        <f>CSO!N98</f>
        <v>4500</v>
      </c>
      <c r="AN79" s="6">
        <f>CSO!O98</f>
        <v>4500</v>
      </c>
      <c r="AO79" s="6">
        <f>CSO!P98</f>
        <v>4500</v>
      </c>
      <c r="AP79"/>
    </row>
    <row r="80" spans="1:42" s="2" customFormat="1" hidden="1" outlineLevel="1" x14ac:dyDescent="0.25">
      <c r="A80" s="145">
        <v>6336</v>
      </c>
      <c r="B80" s="18" t="s">
        <v>438</v>
      </c>
      <c r="D80" s="154">
        <f t="shared" si="27"/>
        <v>4000</v>
      </c>
      <c r="E80" s="154">
        <f t="shared" si="16"/>
        <v>4700</v>
      </c>
      <c r="F80" s="154">
        <f t="shared" si="17"/>
        <v>4700</v>
      </c>
      <c r="G80" s="154">
        <f t="shared" si="18"/>
        <v>4900</v>
      </c>
      <c r="H80" s="154">
        <f t="shared" si="19"/>
        <v>4900</v>
      </c>
      <c r="I80" s="154">
        <f t="shared" si="20"/>
        <v>4900</v>
      </c>
      <c r="J80" s="154">
        <f t="shared" si="21"/>
        <v>4900</v>
      </c>
      <c r="K80" s="154">
        <f t="shared" si="22"/>
        <v>4900</v>
      </c>
      <c r="L80" s="154">
        <f t="shared" si="23"/>
        <v>4900</v>
      </c>
      <c r="M80" s="154">
        <f t="shared" si="24"/>
        <v>4900</v>
      </c>
      <c r="N80" s="154">
        <f t="shared" si="25"/>
        <v>4900</v>
      </c>
      <c r="O80" s="154">
        <f t="shared" si="26"/>
        <v>4900</v>
      </c>
      <c r="Q80" s="59">
        <f>'School Rollup'!D80</f>
        <v>1500</v>
      </c>
      <c r="R80" s="59">
        <f>'School Rollup'!E80</f>
        <v>2200</v>
      </c>
      <c r="S80" s="59">
        <f>'School Rollup'!F80</f>
        <v>2200</v>
      </c>
      <c r="T80" s="59">
        <f>'School Rollup'!G80</f>
        <v>2400</v>
      </c>
      <c r="U80" s="59">
        <f>'School Rollup'!H80</f>
        <v>2400</v>
      </c>
      <c r="V80" s="59">
        <f>'School Rollup'!I80</f>
        <v>2400</v>
      </c>
      <c r="W80" s="59">
        <f>'School Rollup'!J80</f>
        <v>2400</v>
      </c>
      <c r="X80" s="59">
        <f>'School Rollup'!K80</f>
        <v>2400</v>
      </c>
      <c r="Y80" s="59">
        <f>'School Rollup'!L80</f>
        <v>2400</v>
      </c>
      <c r="Z80" s="59">
        <f>'School Rollup'!M80</f>
        <v>2400</v>
      </c>
      <c r="AA80" s="59">
        <f>'School Rollup'!N80</f>
        <v>2400</v>
      </c>
      <c r="AB80" s="59">
        <f>'School Rollup'!O80</f>
        <v>2400</v>
      </c>
      <c r="AC80"/>
      <c r="AD80" s="6">
        <f>CSO!E99</f>
        <v>2500</v>
      </c>
      <c r="AE80" s="6">
        <f>CSO!F99</f>
        <v>2500</v>
      </c>
      <c r="AF80" s="6">
        <f>CSO!G99</f>
        <v>2500</v>
      </c>
      <c r="AG80" s="6">
        <f>CSO!H99</f>
        <v>2500</v>
      </c>
      <c r="AH80" s="6">
        <f>CSO!I99</f>
        <v>2500</v>
      </c>
      <c r="AI80" s="6">
        <f>CSO!J99</f>
        <v>2500</v>
      </c>
      <c r="AJ80" s="6">
        <f>CSO!K99</f>
        <v>2500</v>
      </c>
      <c r="AK80" s="6">
        <f>CSO!L99</f>
        <v>2500</v>
      </c>
      <c r="AL80" s="6">
        <f>CSO!M99</f>
        <v>2500</v>
      </c>
      <c r="AM80" s="6">
        <f>CSO!N99</f>
        <v>2500</v>
      </c>
      <c r="AN80" s="6">
        <f>CSO!O99</f>
        <v>2500</v>
      </c>
      <c r="AO80" s="6">
        <f>CSO!P99</f>
        <v>2500</v>
      </c>
      <c r="AP80"/>
    </row>
    <row r="81" spans="1:42" s="2" customFormat="1" hidden="1" outlineLevel="1" x14ac:dyDescent="0.25">
      <c r="A81" s="145">
        <v>6337</v>
      </c>
      <c r="B81" s="18" t="s">
        <v>439</v>
      </c>
      <c r="D81" s="154">
        <f t="shared" si="27"/>
        <v>1175</v>
      </c>
      <c r="E81" s="154">
        <f t="shared" si="16"/>
        <v>1675</v>
      </c>
      <c r="F81" s="154">
        <f t="shared" si="17"/>
        <v>1925</v>
      </c>
      <c r="G81" s="154">
        <f t="shared" si="18"/>
        <v>2175</v>
      </c>
      <c r="H81" s="154">
        <f t="shared" si="19"/>
        <v>2175</v>
      </c>
      <c r="I81" s="154">
        <f t="shared" si="20"/>
        <v>2175</v>
      </c>
      <c r="J81" s="154">
        <f t="shared" si="21"/>
        <v>2175</v>
      </c>
      <c r="K81" s="154">
        <f t="shared" si="22"/>
        <v>2175</v>
      </c>
      <c r="L81" s="154">
        <f t="shared" si="23"/>
        <v>2175</v>
      </c>
      <c r="M81" s="154">
        <f t="shared" si="24"/>
        <v>2175</v>
      </c>
      <c r="N81" s="154">
        <f t="shared" si="25"/>
        <v>2175</v>
      </c>
      <c r="O81" s="154">
        <f t="shared" si="26"/>
        <v>2175</v>
      </c>
      <c r="Q81" s="59">
        <f>'School Rollup'!D81</f>
        <v>1175</v>
      </c>
      <c r="R81" s="59">
        <f>'School Rollup'!E81</f>
        <v>1675</v>
      </c>
      <c r="S81" s="59">
        <f>'School Rollup'!F81</f>
        <v>1925</v>
      </c>
      <c r="T81" s="59">
        <f>'School Rollup'!G81</f>
        <v>2175</v>
      </c>
      <c r="U81" s="59">
        <f>'School Rollup'!H81</f>
        <v>2175</v>
      </c>
      <c r="V81" s="59">
        <f>'School Rollup'!I81</f>
        <v>2175</v>
      </c>
      <c r="W81" s="59">
        <f>'School Rollup'!J81</f>
        <v>2175</v>
      </c>
      <c r="X81" s="59">
        <f>'School Rollup'!K81</f>
        <v>2175</v>
      </c>
      <c r="Y81" s="59">
        <f>'School Rollup'!L81</f>
        <v>2175</v>
      </c>
      <c r="Z81" s="59">
        <f>'School Rollup'!M81</f>
        <v>2175</v>
      </c>
      <c r="AA81" s="59">
        <f>'School Rollup'!N81</f>
        <v>2175</v>
      </c>
      <c r="AB81" s="59">
        <f>'School Rollup'!O81</f>
        <v>2175</v>
      </c>
      <c r="AC81"/>
      <c r="AD81" s="6">
        <f>CSO!E100</f>
        <v>0</v>
      </c>
      <c r="AE81" s="6">
        <f>CSO!F100</f>
        <v>0</v>
      </c>
      <c r="AF81" s="6">
        <f>CSO!G100</f>
        <v>0</v>
      </c>
      <c r="AG81" s="6">
        <f>CSO!H100</f>
        <v>0</v>
      </c>
      <c r="AH81" s="6">
        <f>CSO!I100</f>
        <v>0</v>
      </c>
      <c r="AI81" s="6">
        <f>CSO!J100</f>
        <v>0</v>
      </c>
      <c r="AJ81" s="6">
        <f>CSO!K100</f>
        <v>0</v>
      </c>
      <c r="AK81" s="6">
        <f>CSO!L100</f>
        <v>0</v>
      </c>
      <c r="AL81" s="6">
        <f>CSO!M100</f>
        <v>0</v>
      </c>
      <c r="AM81" s="6">
        <f>CSO!N100</f>
        <v>0</v>
      </c>
      <c r="AN81" s="6">
        <f>CSO!O100</f>
        <v>0</v>
      </c>
      <c r="AO81" s="6">
        <f>CSO!P100</f>
        <v>0</v>
      </c>
      <c r="AP81"/>
    </row>
    <row r="82" spans="1:42" s="264" customFormat="1" collapsed="1" x14ac:dyDescent="0.25">
      <c r="A82" s="283">
        <v>330</v>
      </c>
      <c r="B82" s="275" t="s">
        <v>579</v>
      </c>
      <c r="D82" s="265">
        <f t="shared" si="27"/>
        <v>38675</v>
      </c>
      <c r="E82" s="265">
        <f t="shared" si="16"/>
        <v>19875</v>
      </c>
      <c r="F82" s="265">
        <f t="shared" si="17"/>
        <v>22500</v>
      </c>
      <c r="G82" s="265">
        <f t="shared" si="18"/>
        <v>22950</v>
      </c>
      <c r="H82" s="265">
        <f t="shared" si="19"/>
        <v>22950</v>
      </c>
      <c r="I82" s="265">
        <f t="shared" si="20"/>
        <v>22950</v>
      </c>
      <c r="J82" s="265">
        <f t="shared" si="21"/>
        <v>22950</v>
      </c>
      <c r="K82" s="265">
        <f t="shared" si="22"/>
        <v>23200</v>
      </c>
      <c r="L82" s="265">
        <f t="shared" si="23"/>
        <v>23575</v>
      </c>
      <c r="M82" s="265">
        <f t="shared" si="24"/>
        <v>23950</v>
      </c>
      <c r="N82" s="265">
        <f t="shared" si="25"/>
        <v>23950</v>
      </c>
      <c r="O82" s="265">
        <f t="shared" si="26"/>
        <v>23950</v>
      </c>
      <c r="Q82" s="266">
        <f>'School Rollup'!D82</f>
        <v>31675</v>
      </c>
      <c r="R82" s="266">
        <f>'School Rollup'!E82</f>
        <v>12875</v>
      </c>
      <c r="S82" s="266">
        <f>'School Rollup'!F82</f>
        <v>15500</v>
      </c>
      <c r="T82" s="266">
        <f>'School Rollup'!G82</f>
        <v>15950</v>
      </c>
      <c r="U82" s="266">
        <f>'School Rollup'!H82</f>
        <v>15950</v>
      </c>
      <c r="V82" s="266">
        <f>'School Rollup'!I82</f>
        <v>15950</v>
      </c>
      <c r="W82" s="266">
        <f>'School Rollup'!J82</f>
        <v>15950</v>
      </c>
      <c r="X82" s="266">
        <f>'School Rollup'!K82</f>
        <v>16200</v>
      </c>
      <c r="Y82" s="266">
        <f>'School Rollup'!L82</f>
        <v>16575</v>
      </c>
      <c r="Z82" s="266">
        <f>'School Rollup'!M82</f>
        <v>16950</v>
      </c>
      <c r="AA82" s="266">
        <f>'School Rollup'!N82</f>
        <v>16950</v>
      </c>
      <c r="AB82" s="266">
        <f>'School Rollup'!O82</f>
        <v>16950</v>
      </c>
      <c r="AC82" s="267"/>
      <c r="AD82" s="268">
        <f>CSO!E101</f>
        <v>7000</v>
      </c>
      <c r="AE82" s="268">
        <f>CSO!F101</f>
        <v>7000</v>
      </c>
      <c r="AF82" s="268">
        <f>CSO!G101</f>
        <v>7000</v>
      </c>
      <c r="AG82" s="268">
        <f>CSO!H101</f>
        <v>7000</v>
      </c>
      <c r="AH82" s="268">
        <f>CSO!I101</f>
        <v>7000</v>
      </c>
      <c r="AI82" s="268">
        <f>CSO!J101</f>
        <v>7000</v>
      </c>
      <c r="AJ82" s="268">
        <f>CSO!K101</f>
        <v>7000</v>
      </c>
      <c r="AK82" s="268">
        <f>CSO!L101</f>
        <v>7000</v>
      </c>
      <c r="AL82" s="268">
        <f>CSO!M101</f>
        <v>7000</v>
      </c>
      <c r="AM82" s="268">
        <f>CSO!N101</f>
        <v>7000</v>
      </c>
      <c r="AN82" s="268">
        <f>CSO!O101</f>
        <v>7000</v>
      </c>
      <c r="AO82" s="268">
        <f>CSO!P101</f>
        <v>7000</v>
      </c>
      <c r="AP82" s="267"/>
    </row>
    <row r="83" spans="1:42" s="16" customFormat="1" x14ac:dyDescent="0.25">
      <c r="A83" s="280">
        <v>340</v>
      </c>
      <c r="B83" s="279" t="s">
        <v>488</v>
      </c>
      <c r="D83" s="281">
        <f t="shared" si="27"/>
        <v>12000</v>
      </c>
      <c r="E83" s="281">
        <f t="shared" si="16"/>
        <v>0</v>
      </c>
      <c r="F83" s="281">
        <f t="shared" si="17"/>
        <v>6000</v>
      </c>
      <c r="G83" s="281">
        <f t="shared" si="18"/>
        <v>0</v>
      </c>
      <c r="H83" s="281">
        <f t="shared" si="19"/>
        <v>12000</v>
      </c>
      <c r="I83" s="281">
        <f t="shared" si="20"/>
        <v>12000</v>
      </c>
      <c r="J83" s="281">
        <f t="shared" si="21"/>
        <v>12000</v>
      </c>
      <c r="K83" s="281">
        <f t="shared" si="22"/>
        <v>12000</v>
      </c>
      <c r="L83" s="281">
        <f t="shared" si="23"/>
        <v>12000</v>
      </c>
      <c r="M83" s="281">
        <f t="shared" si="24"/>
        <v>12000</v>
      </c>
      <c r="N83" s="281">
        <f t="shared" si="25"/>
        <v>12000</v>
      </c>
      <c r="O83" s="281">
        <f t="shared" si="26"/>
        <v>12000</v>
      </c>
      <c r="Q83" s="293">
        <f>'School Rollup'!D83</f>
        <v>0</v>
      </c>
      <c r="R83" s="293">
        <f>'School Rollup'!E83</f>
        <v>0</v>
      </c>
      <c r="S83" s="293">
        <f>'School Rollup'!F83</f>
        <v>0</v>
      </c>
      <c r="T83" s="293">
        <f>'School Rollup'!G83</f>
        <v>0</v>
      </c>
      <c r="U83" s="293">
        <f>'School Rollup'!H83</f>
        <v>0</v>
      </c>
      <c r="V83" s="293">
        <f>'School Rollup'!I83</f>
        <v>0</v>
      </c>
      <c r="W83" s="293">
        <f>'School Rollup'!J83</f>
        <v>0</v>
      </c>
      <c r="X83" s="293">
        <f>'School Rollup'!K83</f>
        <v>0</v>
      </c>
      <c r="Y83" s="293">
        <f>'School Rollup'!L83</f>
        <v>0</v>
      </c>
      <c r="Z83" s="293">
        <f>'School Rollup'!M83</f>
        <v>0</v>
      </c>
      <c r="AA83" s="293">
        <f>'School Rollup'!N83</f>
        <v>0</v>
      </c>
      <c r="AB83" s="293">
        <f>'School Rollup'!O83</f>
        <v>0</v>
      </c>
      <c r="AC83" s="30"/>
      <c r="AD83" s="287">
        <f>CSO!E102</f>
        <v>12000</v>
      </c>
      <c r="AE83" s="287">
        <f>CSO!F102</f>
        <v>0</v>
      </c>
      <c r="AF83" s="287">
        <f>CSO!G102</f>
        <v>6000</v>
      </c>
      <c r="AG83" s="287">
        <f>CSO!H102</f>
        <v>0</v>
      </c>
      <c r="AH83" s="287">
        <f>CSO!I102</f>
        <v>12000</v>
      </c>
      <c r="AI83" s="287">
        <f>CSO!J102</f>
        <v>12000</v>
      </c>
      <c r="AJ83" s="287">
        <f>CSO!K102</f>
        <v>12000</v>
      </c>
      <c r="AK83" s="287">
        <f>CSO!L102</f>
        <v>12000</v>
      </c>
      <c r="AL83" s="287">
        <f>CSO!M102</f>
        <v>12000</v>
      </c>
      <c r="AM83" s="287">
        <f>CSO!N102</f>
        <v>12000</v>
      </c>
      <c r="AN83" s="287">
        <f>CSO!O102</f>
        <v>12000</v>
      </c>
      <c r="AO83" s="287">
        <f>CSO!P102</f>
        <v>12000</v>
      </c>
      <c r="AP83" s="30"/>
    </row>
    <row r="84" spans="1:42" s="30" customFormat="1" x14ac:dyDescent="0.25">
      <c r="A84" s="285">
        <v>340</v>
      </c>
      <c r="B84" s="279" t="s">
        <v>518</v>
      </c>
      <c r="D84" s="281">
        <f t="shared" si="27"/>
        <v>18000</v>
      </c>
      <c r="E84" s="281">
        <f t="shared" si="16"/>
        <v>18000</v>
      </c>
      <c r="F84" s="281">
        <f t="shared" si="17"/>
        <v>18000</v>
      </c>
      <c r="G84" s="281">
        <f t="shared" si="18"/>
        <v>18000</v>
      </c>
      <c r="H84" s="281">
        <f t="shared" si="19"/>
        <v>18000</v>
      </c>
      <c r="I84" s="281">
        <f t="shared" si="20"/>
        <v>18000</v>
      </c>
      <c r="J84" s="281">
        <f t="shared" si="21"/>
        <v>18000</v>
      </c>
      <c r="K84" s="281">
        <f t="shared" si="22"/>
        <v>18000</v>
      </c>
      <c r="L84" s="281">
        <f t="shared" si="23"/>
        <v>18000</v>
      </c>
      <c r="M84" s="281">
        <f t="shared" si="24"/>
        <v>18000</v>
      </c>
      <c r="N84" s="281">
        <f t="shared" si="25"/>
        <v>18000</v>
      </c>
      <c r="O84" s="281">
        <f t="shared" si="26"/>
        <v>18000</v>
      </c>
      <c r="Q84" s="293">
        <f>'School Rollup'!D84</f>
        <v>9000</v>
      </c>
      <c r="R84" s="293">
        <f>'School Rollup'!E84</f>
        <v>9000</v>
      </c>
      <c r="S84" s="293">
        <f>'School Rollup'!F84</f>
        <v>9000</v>
      </c>
      <c r="T84" s="293">
        <f>'School Rollup'!G84</f>
        <v>9000</v>
      </c>
      <c r="U84" s="293">
        <f>'School Rollup'!H84</f>
        <v>9000</v>
      </c>
      <c r="V84" s="293">
        <f>'School Rollup'!I84</f>
        <v>9000</v>
      </c>
      <c r="W84" s="293">
        <f>'School Rollup'!J84</f>
        <v>9000</v>
      </c>
      <c r="X84" s="293">
        <f>'School Rollup'!K84</f>
        <v>9000</v>
      </c>
      <c r="Y84" s="293">
        <f>'School Rollup'!L84</f>
        <v>9000</v>
      </c>
      <c r="Z84" s="293">
        <f>'School Rollup'!M84</f>
        <v>9000</v>
      </c>
      <c r="AA84" s="293">
        <f>'School Rollup'!N84</f>
        <v>9000</v>
      </c>
      <c r="AB84" s="293">
        <f>'School Rollup'!O84</f>
        <v>9000</v>
      </c>
      <c r="AD84" s="287">
        <f>CSO!E104</f>
        <v>9000</v>
      </c>
      <c r="AE84" s="287">
        <f>CSO!F104</f>
        <v>9000</v>
      </c>
      <c r="AF84" s="287">
        <f>CSO!G104</f>
        <v>9000</v>
      </c>
      <c r="AG84" s="287">
        <f>CSO!H104</f>
        <v>9000</v>
      </c>
      <c r="AH84" s="287">
        <f>CSO!I104</f>
        <v>9000</v>
      </c>
      <c r="AI84" s="287">
        <f>CSO!J104</f>
        <v>9000</v>
      </c>
      <c r="AJ84" s="287">
        <f>CSO!K104</f>
        <v>9000</v>
      </c>
      <c r="AK84" s="287">
        <f>CSO!L104</f>
        <v>9000</v>
      </c>
      <c r="AL84" s="287">
        <f>CSO!M104</f>
        <v>9000</v>
      </c>
      <c r="AM84" s="287">
        <f>CSO!N104</f>
        <v>9000</v>
      </c>
      <c r="AN84" s="287">
        <f>CSO!O104</f>
        <v>9000</v>
      </c>
      <c r="AO84" s="287">
        <f>CSO!P104</f>
        <v>9000</v>
      </c>
    </row>
    <row r="85" spans="1:42" s="30" customFormat="1" x14ac:dyDescent="0.25">
      <c r="A85" s="285">
        <v>340</v>
      </c>
      <c r="B85" s="279" t="s">
        <v>490</v>
      </c>
      <c r="D85" s="281">
        <f t="shared" si="27"/>
        <v>23000</v>
      </c>
      <c r="E85" s="281">
        <f t="shared" si="16"/>
        <v>23000</v>
      </c>
      <c r="F85" s="281">
        <f t="shared" si="17"/>
        <v>23000</v>
      </c>
      <c r="G85" s="281">
        <f t="shared" si="18"/>
        <v>23000</v>
      </c>
      <c r="H85" s="281">
        <f t="shared" si="19"/>
        <v>23000</v>
      </c>
      <c r="I85" s="281">
        <f t="shared" si="20"/>
        <v>23000</v>
      </c>
      <c r="J85" s="281">
        <f t="shared" si="21"/>
        <v>23000</v>
      </c>
      <c r="K85" s="281">
        <f t="shared" si="22"/>
        <v>23000</v>
      </c>
      <c r="L85" s="281">
        <f t="shared" si="23"/>
        <v>23000</v>
      </c>
      <c r="M85" s="281">
        <f t="shared" si="24"/>
        <v>23000</v>
      </c>
      <c r="N85" s="281">
        <f t="shared" si="25"/>
        <v>23000</v>
      </c>
      <c r="O85" s="281">
        <f t="shared" si="26"/>
        <v>23000</v>
      </c>
      <c r="Q85" s="293">
        <f>'School Rollup'!D85</f>
        <v>5000</v>
      </c>
      <c r="R85" s="293">
        <f>'School Rollup'!E85</f>
        <v>5000</v>
      </c>
      <c r="S85" s="293">
        <f>'School Rollup'!F85</f>
        <v>5000</v>
      </c>
      <c r="T85" s="293">
        <f>'School Rollup'!G85</f>
        <v>5000</v>
      </c>
      <c r="U85" s="293">
        <f>'School Rollup'!H85</f>
        <v>5000</v>
      </c>
      <c r="V85" s="293">
        <f>'School Rollup'!I85</f>
        <v>5000</v>
      </c>
      <c r="W85" s="293">
        <f>'School Rollup'!J85</f>
        <v>5000</v>
      </c>
      <c r="X85" s="293">
        <f>'School Rollup'!K85</f>
        <v>5000</v>
      </c>
      <c r="Y85" s="293">
        <f>'School Rollup'!L85</f>
        <v>5000</v>
      </c>
      <c r="Z85" s="293">
        <f>'School Rollup'!M85</f>
        <v>5000</v>
      </c>
      <c r="AA85" s="293">
        <f>'School Rollup'!N85</f>
        <v>5000</v>
      </c>
      <c r="AB85" s="293">
        <f>'School Rollup'!O85</f>
        <v>5000</v>
      </c>
      <c r="AD85" s="287">
        <f>CSO!E105</f>
        <v>18000</v>
      </c>
      <c r="AE85" s="287">
        <f>CSO!F105</f>
        <v>18000</v>
      </c>
      <c r="AF85" s="287">
        <f>CSO!G105</f>
        <v>18000</v>
      </c>
      <c r="AG85" s="287">
        <f>CSO!H105</f>
        <v>18000</v>
      </c>
      <c r="AH85" s="287">
        <f>CSO!I105</f>
        <v>18000</v>
      </c>
      <c r="AI85" s="287">
        <f>CSO!J105</f>
        <v>18000</v>
      </c>
      <c r="AJ85" s="287">
        <f>CSO!K105</f>
        <v>18000</v>
      </c>
      <c r="AK85" s="287">
        <f>CSO!L105</f>
        <v>18000</v>
      </c>
      <c r="AL85" s="287">
        <f>CSO!M105</f>
        <v>18000</v>
      </c>
      <c r="AM85" s="287">
        <f>CSO!N105</f>
        <v>18000</v>
      </c>
      <c r="AN85" s="287">
        <f>CSO!O105</f>
        <v>18000</v>
      </c>
      <c r="AO85" s="287">
        <f>CSO!P105</f>
        <v>18000</v>
      </c>
    </row>
    <row r="86" spans="1:42" hidden="1" outlineLevel="1" x14ac:dyDescent="0.25">
      <c r="A86" s="100">
        <v>6340</v>
      </c>
      <c r="B86" s="18" t="s">
        <v>79</v>
      </c>
      <c r="D86" s="154">
        <f t="shared" si="27"/>
        <v>9500</v>
      </c>
      <c r="E86" s="154">
        <f t="shared" si="16"/>
        <v>3500</v>
      </c>
      <c r="F86" s="154">
        <f t="shared" si="17"/>
        <v>3500</v>
      </c>
      <c r="G86" s="154">
        <f t="shared" si="18"/>
        <v>3500</v>
      </c>
      <c r="H86" s="154">
        <f t="shared" si="19"/>
        <v>3500</v>
      </c>
      <c r="I86" s="154">
        <f t="shared" si="20"/>
        <v>3500</v>
      </c>
      <c r="J86" s="154">
        <f t="shared" si="21"/>
        <v>3500</v>
      </c>
      <c r="K86" s="154">
        <f t="shared" si="22"/>
        <v>3500</v>
      </c>
      <c r="L86" s="154">
        <f t="shared" si="23"/>
        <v>3500</v>
      </c>
      <c r="M86" s="154">
        <f t="shared" si="24"/>
        <v>3500</v>
      </c>
      <c r="N86" s="154">
        <f t="shared" si="25"/>
        <v>3500</v>
      </c>
      <c r="O86" s="154">
        <f t="shared" si="26"/>
        <v>3500</v>
      </c>
      <c r="Q86" s="59">
        <f>'School Rollup'!D86</f>
        <v>6000</v>
      </c>
      <c r="R86" s="59">
        <f>'School Rollup'!E86</f>
        <v>0</v>
      </c>
      <c r="S86" s="59">
        <f>'School Rollup'!F86</f>
        <v>0</v>
      </c>
      <c r="T86" s="59">
        <f>'School Rollup'!G86</f>
        <v>0</v>
      </c>
      <c r="U86" s="59">
        <f>'School Rollup'!H86</f>
        <v>0</v>
      </c>
      <c r="V86" s="59">
        <f>'School Rollup'!I86</f>
        <v>0</v>
      </c>
      <c r="W86" s="59">
        <f>'School Rollup'!J86</f>
        <v>0</v>
      </c>
      <c r="X86" s="59">
        <f>'School Rollup'!K86</f>
        <v>0</v>
      </c>
      <c r="Y86" s="59">
        <f>'School Rollup'!L86</f>
        <v>0</v>
      </c>
      <c r="Z86" s="59">
        <f>'School Rollup'!M86</f>
        <v>0</v>
      </c>
      <c r="AA86" s="59">
        <f>'School Rollup'!N86</f>
        <v>0</v>
      </c>
      <c r="AB86" s="59">
        <f>'School Rollup'!O86</f>
        <v>0</v>
      </c>
      <c r="AD86" s="6">
        <f>CSO!E106</f>
        <v>3500</v>
      </c>
      <c r="AE86" s="6">
        <f>CSO!F106</f>
        <v>3500</v>
      </c>
      <c r="AF86" s="6">
        <f>CSO!G106</f>
        <v>3500</v>
      </c>
      <c r="AG86" s="6">
        <f>CSO!H106</f>
        <v>3500</v>
      </c>
      <c r="AH86" s="6">
        <f>CSO!I106</f>
        <v>3500</v>
      </c>
      <c r="AI86" s="6">
        <f>CSO!J106</f>
        <v>3500</v>
      </c>
      <c r="AJ86" s="6">
        <f>CSO!K106</f>
        <v>3500</v>
      </c>
      <c r="AK86" s="6">
        <f>CSO!L106</f>
        <v>3500</v>
      </c>
      <c r="AL86" s="6">
        <f>CSO!M106</f>
        <v>3500</v>
      </c>
      <c r="AM86" s="6">
        <f>CSO!N106</f>
        <v>3500</v>
      </c>
      <c r="AN86" s="6">
        <f>CSO!O106</f>
        <v>3500</v>
      </c>
      <c r="AO86" s="6">
        <f>CSO!P106</f>
        <v>3500</v>
      </c>
    </row>
    <row r="87" spans="1:42" hidden="1" outlineLevel="1" x14ac:dyDescent="0.25">
      <c r="A87" s="100">
        <v>6345</v>
      </c>
      <c r="B87" s="18" t="s">
        <v>492</v>
      </c>
      <c r="D87" s="154">
        <f t="shared" si="27"/>
        <v>4500</v>
      </c>
      <c r="E87" s="154">
        <f t="shared" ref="E87:E150" si="28">R87+AE87</f>
        <v>4500</v>
      </c>
      <c r="F87" s="154">
        <f t="shared" ref="F87:F150" si="29">S87+AF87</f>
        <v>4500</v>
      </c>
      <c r="G87" s="154">
        <f t="shared" ref="G87:G150" si="30">T87+AG87</f>
        <v>4500</v>
      </c>
      <c r="H87" s="154">
        <f t="shared" ref="H87:H150" si="31">U87+AH87</f>
        <v>4500</v>
      </c>
      <c r="I87" s="154">
        <f t="shared" ref="I87:I150" si="32">V87+AI87</f>
        <v>4500</v>
      </c>
      <c r="J87" s="154">
        <f t="shared" ref="J87:J150" si="33">W87+AJ87</f>
        <v>4500</v>
      </c>
      <c r="K87" s="154">
        <f t="shared" ref="K87:K150" si="34">X87+AK87</f>
        <v>4500</v>
      </c>
      <c r="L87" s="154">
        <f t="shared" ref="L87:L150" si="35">Y87+AL87</f>
        <v>4500</v>
      </c>
      <c r="M87" s="154">
        <f t="shared" ref="M87:M150" si="36">Z87+AM87</f>
        <v>4500</v>
      </c>
      <c r="N87" s="154">
        <f t="shared" ref="N87:N150" si="37">AA87+AN87</f>
        <v>4500</v>
      </c>
      <c r="O87" s="154">
        <f t="shared" ref="O87:O150" si="38">AB87+AO87</f>
        <v>4500</v>
      </c>
      <c r="Q87" s="59">
        <f>'School Rollup'!D87</f>
        <v>0</v>
      </c>
      <c r="R87" s="59">
        <f>'School Rollup'!E87</f>
        <v>0</v>
      </c>
      <c r="S87" s="59">
        <f>'School Rollup'!F87</f>
        <v>0</v>
      </c>
      <c r="T87" s="59">
        <f>'School Rollup'!G87</f>
        <v>0</v>
      </c>
      <c r="U87" s="59">
        <f>'School Rollup'!H87</f>
        <v>0</v>
      </c>
      <c r="V87" s="59">
        <f>'School Rollup'!I87</f>
        <v>0</v>
      </c>
      <c r="W87" s="59">
        <f>'School Rollup'!J87</f>
        <v>0</v>
      </c>
      <c r="X87" s="59">
        <f>'School Rollup'!K87</f>
        <v>0</v>
      </c>
      <c r="Y87" s="59">
        <f>'School Rollup'!L87</f>
        <v>0</v>
      </c>
      <c r="Z87" s="59">
        <f>'School Rollup'!M87</f>
        <v>0</v>
      </c>
      <c r="AA87" s="59">
        <f>'School Rollup'!N87</f>
        <v>0</v>
      </c>
      <c r="AB87" s="59">
        <f>'School Rollup'!O87</f>
        <v>0</v>
      </c>
      <c r="AD87" s="6">
        <f>CSO!E107</f>
        <v>4500</v>
      </c>
      <c r="AE87" s="6">
        <f>CSO!F107</f>
        <v>4500</v>
      </c>
      <c r="AF87" s="6">
        <f>CSO!G107</f>
        <v>4500</v>
      </c>
      <c r="AG87" s="6">
        <f>CSO!H107</f>
        <v>4500</v>
      </c>
      <c r="AH87" s="6">
        <f>CSO!I107</f>
        <v>4500</v>
      </c>
      <c r="AI87" s="6">
        <f>CSO!J107</f>
        <v>4500</v>
      </c>
      <c r="AJ87" s="6">
        <f>CSO!K107</f>
        <v>4500</v>
      </c>
      <c r="AK87" s="6">
        <f>CSO!L107</f>
        <v>4500</v>
      </c>
      <c r="AL87" s="6">
        <f>CSO!M107</f>
        <v>4500</v>
      </c>
      <c r="AM87" s="6">
        <f>CSO!N107</f>
        <v>4500</v>
      </c>
      <c r="AN87" s="6">
        <f>CSO!O107</f>
        <v>4500</v>
      </c>
      <c r="AO87" s="6">
        <f>CSO!P107</f>
        <v>4500</v>
      </c>
    </row>
    <row r="88" spans="1:42" s="267" customFormat="1" collapsed="1" x14ac:dyDescent="0.25">
      <c r="A88" s="286">
        <v>340</v>
      </c>
      <c r="B88" s="275" t="s">
        <v>519</v>
      </c>
      <c r="D88" s="265">
        <f t="shared" si="27"/>
        <v>14000</v>
      </c>
      <c r="E88" s="265">
        <f t="shared" si="28"/>
        <v>8000</v>
      </c>
      <c r="F88" s="265">
        <f t="shared" si="29"/>
        <v>8000</v>
      </c>
      <c r="G88" s="265">
        <f t="shared" si="30"/>
        <v>8000</v>
      </c>
      <c r="H88" s="265">
        <f t="shared" si="31"/>
        <v>8000</v>
      </c>
      <c r="I88" s="265">
        <f t="shared" si="32"/>
        <v>8000</v>
      </c>
      <c r="J88" s="265">
        <f t="shared" si="33"/>
        <v>8000</v>
      </c>
      <c r="K88" s="265">
        <f t="shared" si="34"/>
        <v>8000</v>
      </c>
      <c r="L88" s="265">
        <f t="shared" si="35"/>
        <v>8000</v>
      </c>
      <c r="M88" s="265">
        <f t="shared" si="36"/>
        <v>8000</v>
      </c>
      <c r="N88" s="265">
        <f t="shared" si="37"/>
        <v>8000</v>
      </c>
      <c r="O88" s="265">
        <f t="shared" si="38"/>
        <v>8000</v>
      </c>
      <c r="Q88" s="266">
        <f>'School Rollup'!D88</f>
        <v>6000</v>
      </c>
      <c r="R88" s="266">
        <f>'School Rollup'!E88</f>
        <v>0</v>
      </c>
      <c r="S88" s="266">
        <f>'School Rollup'!F88</f>
        <v>0</v>
      </c>
      <c r="T88" s="266">
        <f>'School Rollup'!G88</f>
        <v>0</v>
      </c>
      <c r="U88" s="266">
        <f>'School Rollup'!H88</f>
        <v>0</v>
      </c>
      <c r="V88" s="266">
        <f>'School Rollup'!I88</f>
        <v>0</v>
      </c>
      <c r="W88" s="266">
        <f>'School Rollup'!J88</f>
        <v>0</v>
      </c>
      <c r="X88" s="266">
        <f>'School Rollup'!K88</f>
        <v>0</v>
      </c>
      <c r="Y88" s="266">
        <f>'School Rollup'!L88</f>
        <v>0</v>
      </c>
      <c r="Z88" s="266">
        <f>'School Rollup'!M88</f>
        <v>0</v>
      </c>
      <c r="AA88" s="266">
        <f>'School Rollup'!N88</f>
        <v>0</v>
      </c>
      <c r="AB88" s="266">
        <f>'School Rollup'!O88</f>
        <v>0</v>
      </c>
      <c r="AD88" s="268">
        <f>CSO!E108</f>
        <v>8000</v>
      </c>
      <c r="AE88" s="268">
        <f>CSO!F108</f>
        <v>8000</v>
      </c>
      <c r="AF88" s="268">
        <f>CSO!G108</f>
        <v>8000</v>
      </c>
      <c r="AG88" s="268">
        <f>CSO!H108</f>
        <v>8000</v>
      </c>
      <c r="AH88" s="268">
        <f>CSO!I108</f>
        <v>8000</v>
      </c>
      <c r="AI88" s="268">
        <f>CSO!J108</f>
        <v>8000</v>
      </c>
      <c r="AJ88" s="268">
        <f>CSO!K108</f>
        <v>8000</v>
      </c>
      <c r="AK88" s="268">
        <f>CSO!L108</f>
        <v>8000</v>
      </c>
      <c r="AL88" s="268">
        <f>CSO!M108</f>
        <v>8000</v>
      </c>
      <c r="AM88" s="268">
        <f>CSO!N108</f>
        <v>8000</v>
      </c>
      <c r="AN88" s="268">
        <f>CSO!O108</f>
        <v>8000</v>
      </c>
      <c r="AO88" s="268">
        <f>CSO!P108</f>
        <v>8000</v>
      </c>
    </row>
    <row r="89" spans="1:42" s="267" customFormat="1" x14ac:dyDescent="0.25">
      <c r="A89" s="285">
        <v>350</v>
      </c>
      <c r="B89" s="279" t="s">
        <v>493</v>
      </c>
      <c r="D89" s="281">
        <f t="shared" si="27"/>
        <v>9500</v>
      </c>
      <c r="E89" s="281">
        <f t="shared" si="28"/>
        <v>5560</v>
      </c>
      <c r="F89" s="281">
        <f t="shared" si="29"/>
        <v>5620</v>
      </c>
      <c r="G89" s="281">
        <f t="shared" si="30"/>
        <v>5680</v>
      </c>
      <c r="H89" s="281">
        <f t="shared" si="31"/>
        <v>5740</v>
      </c>
      <c r="I89" s="281">
        <f t="shared" si="32"/>
        <v>5800</v>
      </c>
      <c r="J89" s="281">
        <f t="shared" si="33"/>
        <v>5860</v>
      </c>
      <c r="K89" s="281">
        <f t="shared" si="34"/>
        <v>5920</v>
      </c>
      <c r="L89" s="281">
        <f t="shared" si="35"/>
        <v>5980</v>
      </c>
      <c r="M89" s="281">
        <f t="shared" si="36"/>
        <v>6040</v>
      </c>
      <c r="N89" s="281">
        <f t="shared" si="37"/>
        <v>6100</v>
      </c>
      <c r="O89" s="281">
        <f t="shared" si="38"/>
        <v>6160</v>
      </c>
      <c r="Q89" s="288">
        <f>'School Rollup'!D89</f>
        <v>6500</v>
      </c>
      <c r="R89" s="288">
        <f>'School Rollup'!E89</f>
        <v>2500</v>
      </c>
      <c r="S89" s="288">
        <f>'School Rollup'!F89</f>
        <v>2500</v>
      </c>
      <c r="T89" s="288">
        <f>'School Rollup'!G89</f>
        <v>2500</v>
      </c>
      <c r="U89" s="288">
        <f>'School Rollup'!H89</f>
        <v>2500</v>
      </c>
      <c r="V89" s="288">
        <f>'School Rollup'!I89</f>
        <v>2500</v>
      </c>
      <c r="W89" s="288">
        <f>'School Rollup'!J89</f>
        <v>2500</v>
      </c>
      <c r="X89" s="288">
        <f>'School Rollup'!K89</f>
        <v>2500</v>
      </c>
      <c r="Y89" s="288">
        <f>'School Rollup'!L89</f>
        <v>2500</v>
      </c>
      <c r="Z89" s="288">
        <f>'School Rollup'!M89</f>
        <v>2500</v>
      </c>
      <c r="AA89" s="288">
        <f>'School Rollup'!N89</f>
        <v>2500</v>
      </c>
      <c r="AB89" s="288">
        <f>'School Rollup'!O89</f>
        <v>2500</v>
      </c>
      <c r="AD89" s="289">
        <f>CSO!E109</f>
        <v>3000</v>
      </c>
      <c r="AE89" s="289">
        <f>CSO!F109</f>
        <v>3060</v>
      </c>
      <c r="AF89" s="289">
        <f>CSO!G109</f>
        <v>3120</v>
      </c>
      <c r="AG89" s="289">
        <f>CSO!H109</f>
        <v>3180</v>
      </c>
      <c r="AH89" s="289">
        <f>CSO!I109</f>
        <v>3240</v>
      </c>
      <c r="AI89" s="289">
        <f>CSO!J109</f>
        <v>3300</v>
      </c>
      <c r="AJ89" s="289">
        <f>CSO!K109</f>
        <v>3360</v>
      </c>
      <c r="AK89" s="289">
        <f>CSO!L109</f>
        <v>3420</v>
      </c>
      <c r="AL89" s="289">
        <f>CSO!M109</f>
        <v>3480</v>
      </c>
      <c r="AM89" s="289">
        <f>CSO!N109</f>
        <v>3540</v>
      </c>
      <c r="AN89" s="289">
        <f>CSO!O109</f>
        <v>3600</v>
      </c>
      <c r="AO89" s="289">
        <f>CSO!P109</f>
        <v>3660</v>
      </c>
    </row>
    <row r="90" spans="1:42" hidden="1" outlineLevel="1" x14ac:dyDescent="0.25">
      <c r="A90" s="100">
        <v>6351</v>
      </c>
      <c r="B90" s="18" t="s">
        <v>487</v>
      </c>
      <c r="D90" s="154">
        <f t="shared" si="27"/>
        <v>0</v>
      </c>
      <c r="E90" s="154">
        <f t="shared" si="28"/>
        <v>0</v>
      </c>
      <c r="F90" s="154">
        <f t="shared" si="29"/>
        <v>0</v>
      </c>
      <c r="G90" s="154">
        <f t="shared" si="30"/>
        <v>0</v>
      </c>
      <c r="H90" s="154">
        <f t="shared" si="31"/>
        <v>0</v>
      </c>
      <c r="I90" s="154">
        <f t="shared" si="32"/>
        <v>0</v>
      </c>
      <c r="J90" s="154">
        <f t="shared" si="33"/>
        <v>0</v>
      </c>
      <c r="K90" s="154">
        <f t="shared" si="34"/>
        <v>0</v>
      </c>
      <c r="L90" s="154">
        <f t="shared" si="35"/>
        <v>0</v>
      </c>
      <c r="M90" s="154">
        <f t="shared" si="36"/>
        <v>0</v>
      </c>
      <c r="N90" s="154">
        <f t="shared" si="37"/>
        <v>0</v>
      </c>
      <c r="O90" s="154">
        <f t="shared" si="38"/>
        <v>0</v>
      </c>
      <c r="Q90" s="59">
        <f>'School Rollup'!D90</f>
        <v>0</v>
      </c>
      <c r="R90" s="59">
        <f>'School Rollup'!E90</f>
        <v>0</v>
      </c>
      <c r="S90" s="59">
        <f>'School Rollup'!F90</f>
        <v>0</v>
      </c>
      <c r="T90" s="59">
        <f>'School Rollup'!G90</f>
        <v>0</v>
      </c>
      <c r="U90" s="59">
        <f>'School Rollup'!H90</f>
        <v>0</v>
      </c>
      <c r="V90" s="59">
        <f>'School Rollup'!I90</f>
        <v>0</v>
      </c>
      <c r="W90" s="59">
        <f>'School Rollup'!J90</f>
        <v>0</v>
      </c>
      <c r="X90" s="59">
        <f>'School Rollup'!K90</f>
        <v>0</v>
      </c>
      <c r="Y90" s="59">
        <f>'School Rollup'!L90</f>
        <v>0</v>
      </c>
      <c r="Z90" s="59">
        <f>'School Rollup'!M90</f>
        <v>0</v>
      </c>
      <c r="AA90" s="59">
        <f>'School Rollup'!N90</f>
        <v>0</v>
      </c>
      <c r="AB90" s="59">
        <f>'School Rollup'!O90</f>
        <v>0</v>
      </c>
      <c r="AD90" s="6">
        <f>CSO!E110</f>
        <v>0</v>
      </c>
      <c r="AE90" s="6">
        <f>CSO!F110</f>
        <v>0</v>
      </c>
      <c r="AF90" s="6">
        <f>CSO!G110</f>
        <v>0</v>
      </c>
      <c r="AG90" s="6">
        <f>CSO!H110</f>
        <v>0</v>
      </c>
      <c r="AH90" s="6">
        <f>CSO!I110</f>
        <v>0</v>
      </c>
      <c r="AI90" s="6">
        <f>CSO!J110</f>
        <v>0</v>
      </c>
      <c r="AJ90" s="6">
        <f>CSO!K110</f>
        <v>0</v>
      </c>
      <c r="AK90" s="6">
        <f>CSO!L110</f>
        <v>0</v>
      </c>
      <c r="AL90" s="6">
        <f>CSO!M110</f>
        <v>0</v>
      </c>
      <c r="AM90" s="6">
        <f>CSO!N110</f>
        <v>0</v>
      </c>
      <c r="AN90" s="6">
        <f>CSO!O110</f>
        <v>0</v>
      </c>
      <c r="AO90" s="6">
        <f>CSO!P110</f>
        <v>0</v>
      </c>
    </row>
    <row r="91" spans="1:42" hidden="1" outlineLevel="1" x14ac:dyDescent="0.25">
      <c r="A91" s="100">
        <v>6351</v>
      </c>
      <c r="B91" s="18" t="s">
        <v>441</v>
      </c>
      <c r="D91" s="154">
        <f t="shared" si="27"/>
        <v>49000</v>
      </c>
      <c r="E91" s="154">
        <f t="shared" si="28"/>
        <v>52326</v>
      </c>
      <c r="F91" s="154">
        <f t="shared" si="29"/>
        <v>62400</v>
      </c>
      <c r="G91" s="154">
        <f t="shared" si="30"/>
        <v>68052</v>
      </c>
      <c r="H91" s="154">
        <f t="shared" si="31"/>
        <v>72576</v>
      </c>
      <c r="I91" s="154">
        <f t="shared" si="32"/>
        <v>76560</v>
      </c>
      <c r="J91" s="154">
        <f t="shared" si="33"/>
        <v>80775</v>
      </c>
      <c r="K91" s="154">
        <f t="shared" si="34"/>
        <v>85091</v>
      </c>
      <c r="L91" s="154">
        <f t="shared" si="35"/>
        <v>89854</v>
      </c>
      <c r="M91" s="154">
        <f t="shared" si="36"/>
        <v>94731</v>
      </c>
      <c r="N91" s="154">
        <f t="shared" si="37"/>
        <v>99864</v>
      </c>
      <c r="O91" s="154">
        <f t="shared" si="38"/>
        <v>105262</v>
      </c>
      <c r="Q91" s="59">
        <f>'School Rollup'!D91</f>
        <v>26500</v>
      </c>
      <c r="R91" s="59">
        <f>'School Rollup'!E91</f>
        <v>26163</v>
      </c>
      <c r="S91" s="59">
        <f>'School Rollup'!F91</f>
        <v>31200</v>
      </c>
      <c r="T91" s="59">
        <f>'School Rollup'!G91</f>
        <v>34026</v>
      </c>
      <c r="U91" s="59">
        <f>'School Rollup'!H91</f>
        <v>36288</v>
      </c>
      <c r="V91" s="59">
        <f>'School Rollup'!I91</f>
        <v>38280</v>
      </c>
      <c r="W91" s="59">
        <f>'School Rollup'!J91</f>
        <v>40388</v>
      </c>
      <c r="X91" s="59">
        <f>'School Rollup'!K91</f>
        <v>42546</v>
      </c>
      <c r="Y91" s="59">
        <f>'School Rollup'!L91</f>
        <v>44927</v>
      </c>
      <c r="Z91" s="59">
        <f>'School Rollup'!M91</f>
        <v>47366</v>
      </c>
      <c r="AA91" s="59">
        <f>'School Rollup'!N91</f>
        <v>49932</v>
      </c>
      <c r="AB91" s="59">
        <f>'School Rollup'!O91</f>
        <v>52631</v>
      </c>
      <c r="AD91" s="6">
        <f>CSO!E111</f>
        <v>22500</v>
      </c>
      <c r="AE91" s="6">
        <f>CSO!F111</f>
        <v>26163</v>
      </c>
      <c r="AF91" s="6">
        <f>CSO!G111</f>
        <v>31200</v>
      </c>
      <c r="AG91" s="6">
        <f>CSO!H111</f>
        <v>34026</v>
      </c>
      <c r="AH91" s="6">
        <f>CSO!I111</f>
        <v>36288</v>
      </c>
      <c r="AI91" s="6">
        <f>CSO!J111</f>
        <v>38280</v>
      </c>
      <c r="AJ91" s="6">
        <f>CSO!K111</f>
        <v>40387</v>
      </c>
      <c r="AK91" s="6">
        <f>CSO!L111</f>
        <v>42545</v>
      </c>
      <c r="AL91" s="6">
        <f>CSO!M111</f>
        <v>44927</v>
      </c>
      <c r="AM91" s="6">
        <f>CSO!N111</f>
        <v>47365</v>
      </c>
      <c r="AN91" s="6">
        <f>CSO!O111</f>
        <v>49932</v>
      </c>
      <c r="AO91" s="6">
        <f>CSO!P111</f>
        <v>52631</v>
      </c>
    </row>
    <row r="92" spans="1:42" hidden="1" outlineLevel="1" x14ac:dyDescent="0.25">
      <c r="A92" s="100">
        <v>6351</v>
      </c>
      <c r="B92" s="18" t="s">
        <v>442</v>
      </c>
      <c r="D92" s="154">
        <f t="shared" si="27"/>
        <v>10500</v>
      </c>
      <c r="E92" s="154">
        <f t="shared" si="28"/>
        <v>12210</v>
      </c>
      <c r="F92" s="154">
        <f t="shared" si="29"/>
        <v>14560</v>
      </c>
      <c r="G92" s="154">
        <f t="shared" si="30"/>
        <v>15879</v>
      </c>
      <c r="H92" s="154">
        <f t="shared" si="31"/>
        <v>16934</v>
      </c>
      <c r="I92" s="154">
        <f t="shared" si="32"/>
        <v>17864</v>
      </c>
      <c r="J92" s="154">
        <f t="shared" si="33"/>
        <v>18848</v>
      </c>
      <c r="K92" s="154">
        <f t="shared" si="34"/>
        <v>19854</v>
      </c>
      <c r="L92" s="154">
        <f t="shared" si="35"/>
        <v>20965</v>
      </c>
      <c r="M92" s="154">
        <f t="shared" si="36"/>
        <v>22104</v>
      </c>
      <c r="N92" s="154">
        <f t="shared" si="37"/>
        <v>23302</v>
      </c>
      <c r="O92" s="154">
        <f t="shared" si="38"/>
        <v>24560</v>
      </c>
      <c r="Q92" s="59">
        <f>'School Rollup'!D92</f>
        <v>5250</v>
      </c>
      <c r="R92" s="59">
        <f>'School Rollup'!E92</f>
        <v>6105</v>
      </c>
      <c r="S92" s="59">
        <f>'School Rollup'!F92</f>
        <v>7280</v>
      </c>
      <c r="T92" s="59">
        <f>'School Rollup'!G92</f>
        <v>7940</v>
      </c>
      <c r="U92" s="59">
        <f>'School Rollup'!H92</f>
        <v>8467</v>
      </c>
      <c r="V92" s="59">
        <f>'School Rollup'!I92</f>
        <v>8932</v>
      </c>
      <c r="W92" s="59">
        <f>'School Rollup'!J92</f>
        <v>9424</v>
      </c>
      <c r="X92" s="59">
        <f>'School Rollup'!K92</f>
        <v>9927</v>
      </c>
      <c r="Y92" s="59">
        <f>'School Rollup'!L92</f>
        <v>10482</v>
      </c>
      <c r="Z92" s="59">
        <f>'School Rollup'!M92</f>
        <v>11052</v>
      </c>
      <c r="AA92" s="59">
        <f>'School Rollup'!N92</f>
        <v>11651</v>
      </c>
      <c r="AB92" s="59">
        <f>'School Rollup'!O92</f>
        <v>12279</v>
      </c>
      <c r="AD92" s="6">
        <f>CSO!E112</f>
        <v>5250</v>
      </c>
      <c r="AE92" s="6">
        <f>CSO!F112</f>
        <v>6105</v>
      </c>
      <c r="AF92" s="6">
        <f>CSO!G112</f>
        <v>7280</v>
      </c>
      <c r="AG92" s="6">
        <f>CSO!H112</f>
        <v>7939</v>
      </c>
      <c r="AH92" s="6">
        <f>CSO!I112</f>
        <v>8467</v>
      </c>
      <c r="AI92" s="6">
        <f>CSO!J112</f>
        <v>8932</v>
      </c>
      <c r="AJ92" s="6">
        <f>CSO!K112</f>
        <v>9424</v>
      </c>
      <c r="AK92" s="6">
        <f>CSO!L112</f>
        <v>9927</v>
      </c>
      <c r="AL92" s="6">
        <f>CSO!M112</f>
        <v>10483</v>
      </c>
      <c r="AM92" s="6">
        <f>CSO!N112</f>
        <v>11052</v>
      </c>
      <c r="AN92" s="6">
        <f>CSO!O112</f>
        <v>11651</v>
      </c>
      <c r="AO92" s="6">
        <f>CSO!P112</f>
        <v>12281</v>
      </c>
    </row>
    <row r="93" spans="1:42" hidden="1" outlineLevel="1" x14ac:dyDescent="0.25">
      <c r="A93" s="100">
        <v>6351</v>
      </c>
      <c r="B93" s="18" t="s">
        <v>763</v>
      </c>
      <c r="D93" s="154">
        <f t="shared" si="27"/>
        <v>15000</v>
      </c>
      <c r="E93" s="154">
        <f t="shared" si="28"/>
        <v>17442</v>
      </c>
      <c r="F93" s="154">
        <f t="shared" si="29"/>
        <v>20800</v>
      </c>
      <c r="G93" s="154">
        <f t="shared" si="30"/>
        <v>22685</v>
      </c>
      <c r="H93" s="154">
        <f t="shared" si="31"/>
        <v>24193</v>
      </c>
      <c r="I93" s="154">
        <f t="shared" si="32"/>
        <v>25520</v>
      </c>
      <c r="J93" s="154">
        <f t="shared" si="33"/>
        <v>26924</v>
      </c>
      <c r="K93" s="154">
        <f t="shared" si="34"/>
        <v>28364</v>
      </c>
      <c r="L93" s="154">
        <f t="shared" si="35"/>
        <v>29953</v>
      </c>
      <c r="M93" s="154">
        <f t="shared" si="36"/>
        <v>31576</v>
      </c>
      <c r="N93" s="154">
        <f t="shared" si="37"/>
        <v>33288</v>
      </c>
      <c r="O93" s="154">
        <f t="shared" si="38"/>
        <v>35087</v>
      </c>
      <c r="Q93" s="59">
        <f>'School Rollup'!D93</f>
        <v>7500</v>
      </c>
      <c r="R93" s="59">
        <f>'School Rollup'!E93</f>
        <v>8721</v>
      </c>
      <c r="S93" s="59">
        <f>'School Rollup'!F93</f>
        <v>10400</v>
      </c>
      <c r="T93" s="59">
        <f>'School Rollup'!G93</f>
        <v>11343</v>
      </c>
      <c r="U93" s="59">
        <f>'School Rollup'!H93</f>
        <v>12097</v>
      </c>
      <c r="V93" s="59">
        <f>'School Rollup'!I93</f>
        <v>12760</v>
      </c>
      <c r="W93" s="59">
        <f>'School Rollup'!J93</f>
        <v>13462</v>
      </c>
      <c r="X93" s="59">
        <f>'School Rollup'!K93</f>
        <v>14182</v>
      </c>
      <c r="Y93" s="59">
        <f>'School Rollup'!L93</f>
        <v>14977</v>
      </c>
      <c r="Z93" s="59">
        <f>'School Rollup'!M93</f>
        <v>15788</v>
      </c>
      <c r="AA93" s="59">
        <f>'School Rollup'!N93</f>
        <v>16644</v>
      </c>
      <c r="AB93" s="59">
        <f>'School Rollup'!O93</f>
        <v>17543</v>
      </c>
      <c r="AD93" s="6">
        <f>CSO!E113</f>
        <v>7500</v>
      </c>
      <c r="AE93" s="6">
        <f>CSO!F113</f>
        <v>8721</v>
      </c>
      <c r="AF93" s="6">
        <f>CSO!G113</f>
        <v>10400</v>
      </c>
      <c r="AG93" s="6">
        <f>CSO!H113</f>
        <v>11342</v>
      </c>
      <c r="AH93" s="6">
        <f>CSO!I113</f>
        <v>12096</v>
      </c>
      <c r="AI93" s="6">
        <f>CSO!J113</f>
        <v>12760</v>
      </c>
      <c r="AJ93" s="6">
        <f>CSO!K113</f>
        <v>13462</v>
      </c>
      <c r="AK93" s="6">
        <f>CSO!L113</f>
        <v>14182</v>
      </c>
      <c r="AL93" s="6">
        <f>CSO!M113</f>
        <v>14976</v>
      </c>
      <c r="AM93" s="6">
        <f>CSO!N113</f>
        <v>15788</v>
      </c>
      <c r="AN93" s="6">
        <f>CSO!O113</f>
        <v>16644</v>
      </c>
      <c r="AO93" s="6">
        <f>CSO!P113</f>
        <v>17544</v>
      </c>
    </row>
    <row r="94" spans="1:42" s="271" customFormat="1" collapsed="1" x14ac:dyDescent="0.25">
      <c r="A94" s="286">
        <v>351</v>
      </c>
      <c r="B94" s="275" t="s">
        <v>494</v>
      </c>
      <c r="D94" s="265">
        <f t="shared" si="27"/>
        <v>74500</v>
      </c>
      <c r="E94" s="265">
        <f t="shared" si="28"/>
        <v>81978</v>
      </c>
      <c r="F94" s="265">
        <f t="shared" si="29"/>
        <v>97760</v>
      </c>
      <c r="G94" s="265">
        <f t="shared" si="30"/>
        <v>106616</v>
      </c>
      <c r="H94" s="265">
        <f t="shared" si="31"/>
        <v>113703</v>
      </c>
      <c r="I94" s="265">
        <f t="shared" si="32"/>
        <v>119944</v>
      </c>
      <c r="J94" s="265">
        <f t="shared" si="33"/>
        <v>126547</v>
      </c>
      <c r="K94" s="265">
        <f t="shared" si="34"/>
        <v>133309</v>
      </c>
      <c r="L94" s="265">
        <f t="shared" si="35"/>
        <v>140772</v>
      </c>
      <c r="M94" s="265">
        <f t="shared" si="36"/>
        <v>148411</v>
      </c>
      <c r="N94" s="265">
        <f t="shared" si="37"/>
        <v>156454</v>
      </c>
      <c r="O94" s="265">
        <f t="shared" si="38"/>
        <v>164909</v>
      </c>
      <c r="Q94" s="266">
        <f>'School Rollup'!D94</f>
        <v>39250</v>
      </c>
      <c r="R94" s="266">
        <f>'School Rollup'!E94</f>
        <v>40989</v>
      </c>
      <c r="S94" s="266">
        <f>'School Rollup'!F94</f>
        <v>48880</v>
      </c>
      <c r="T94" s="266">
        <f>'School Rollup'!G94</f>
        <v>53309</v>
      </c>
      <c r="U94" s="266">
        <f>'School Rollup'!H94</f>
        <v>56852</v>
      </c>
      <c r="V94" s="266">
        <f>'School Rollup'!I94</f>
        <v>59972</v>
      </c>
      <c r="W94" s="266">
        <f>'School Rollup'!J94</f>
        <v>63274</v>
      </c>
      <c r="X94" s="266">
        <f>'School Rollup'!K94</f>
        <v>66655</v>
      </c>
      <c r="Y94" s="266">
        <f>'School Rollup'!L94</f>
        <v>70386</v>
      </c>
      <c r="Z94" s="266">
        <f>'School Rollup'!M94</f>
        <v>74206</v>
      </c>
      <c r="AA94" s="266">
        <f>'School Rollup'!N94</f>
        <v>78227</v>
      </c>
      <c r="AB94" s="266">
        <f>'School Rollup'!O94</f>
        <v>82453</v>
      </c>
      <c r="AC94" s="267"/>
      <c r="AD94" s="268">
        <f>CSO!E114</f>
        <v>35250</v>
      </c>
      <c r="AE94" s="268">
        <f>CSO!F114</f>
        <v>40989</v>
      </c>
      <c r="AF94" s="268">
        <f>CSO!G114</f>
        <v>48880</v>
      </c>
      <c r="AG94" s="268">
        <f>CSO!H114</f>
        <v>53307</v>
      </c>
      <c r="AH94" s="268">
        <f>CSO!I114</f>
        <v>56851</v>
      </c>
      <c r="AI94" s="268">
        <f>CSO!J114</f>
        <v>59972</v>
      </c>
      <c r="AJ94" s="268">
        <f>CSO!K114</f>
        <v>63273</v>
      </c>
      <c r="AK94" s="268">
        <f>CSO!L114</f>
        <v>66654</v>
      </c>
      <c r="AL94" s="268">
        <f>CSO!M114</f>
        <v>70386</v>
      </c>
      <c r="AM94" s="268">
        <f>CSO!N114</f>
        <v>74205</v>
      </c>
      <c r="AN94" s="268">
        <f>CSO!O114</f>
        <v>78227</v>
      </c>
      <c r="AO94" s="268">
        <f>CSO!P114</f>
        <v>82456</v>
      </c>
      <c r="AP94" s="267"/>
    </row>
    <row r="95" spans="1:42" s="31" customFormat="1" hidden="1" outlineLevel="1" x14ac:dyDescent="0.25">
      <c r="A95" s="100">
        <v>6410</v>
      </c>
      <c r="B95" s="18" t="s">
        <v>443</v>
      </c>
      <c r="D95" s="154">
        <f t="shared" si="27"/>
        <v>1440</v>
      </c>
      <c r="E95" s="154">
        <f t="shared" si="28"/>
        <v>1468.8</v>
      </c>
      <c r="F95" s="154">
        <f t="shared" si="29"/>
        <v>1497.6000000000001</v>
      </c>
      <c r="G95" s="154">
        <f t="shared" si="30"/>
        <v>1526.4</v>
      </c>
      <c r="H95" s="154">
        <f t="shared" si="31"/>
        <v>1555.2</v>
      </c>
      <c r="I95" s="154">
        <f t="shared" si="32"/>
        <v>1584.0000000000002</v>
      </c>
      <c r="J95" s="154">
        <f t="shared" si="33"/>
        <v>1612.8000000000002</v>
      </c>
      <c r="K95" s="154">
        <f t="shared" si="34"/>
        <v>1641.6000000000001</v>
      </c>
      <c r="L95" s="154">
        <f t="shared" si="35"/>
        <v>1670.3999999999999</v>
      </c>
      <c r="M95" s="154">
        <f t="shared" si="36"/>
        <v>1699.1999999999998</v>
      </c>
      <c r="N95" s="154">
        <f t="shared" si="37"/>
        <v>1728</v>
      </c>
      <c r="O95" s="154">
        <f t="shared" si="38"/>
        <v>1756.8</v>
      </c>
      <c r="Q95" s="59">
        <f>'School Rollup'!D95</f>
        <v>1440</v>
      </c>
      <c r="R95" s="59">
        <f>'School Rollup'!E95</f>
        <v>1468.8</v>
      </c>
      <c r="S95" s="59">
        <f>'School Rollup'!F95</f>
        <v>1497.6000000000001</v>
      </c>
      <c r="T95" s="59">
        <f>'School Rollup'!G95</f>
        <v>1526.4</v>
      </c>
      <c r="U95" s="59">
        <f>'School Rollup'!H95</f>
        <v>1555.2</v>
      </c>
      <c r="V95" s="59">
        <f>'School Rollup'!I95</f>
        <v>1584.0000000000002</v>
      </c>
      <c r="W95" s="59">
        <f>'School Rollup'!J95</f>
        <v>1612.8000000000002</v>
      </c>
      <c r="X95" s="59">
        <f>'School Rollup'!K95</f>
        <v>1641.6000000000001</v>
      </c>
      <c r="Y95" s="59">
        <f>'School Rollup'!L95</f>
        <v>1670.3999999999999</v>
      </c>
      <c r="Z95" s="59">
        <f>'School Rollup'!M95</f>
        <v>1699.1999999999998</v>
      </c>
      <c r="AA95" s="59">
        <f>'School Rollup'!N95</f>
        <v>1728</v>
      </c>
      <c r="AB95" s="59">
        <f>'School Rollup'!O95</f>
        <v>1756.8</v>
      </c>
      <c r="AC95"/>
      <c r="AD95" s="6">
        <f>CSO!E115</f>
        <v>0</v>
      </c>
      <c r="AE95" s="6">
        <f>CSO!F115</f>
        <v>0</v>
      </c>
      <c r="AF95" s="6">
        <f>CSO!G115</f>
        <v>0</v>
      </c>
      <c r="AG95" s="6">
        <f>CSO!H115</f>
        <v>0</v>
      </c>
      <c r="AH95" s="6">
        <f>CSO!I115</f>
        <v>0</v>
      </c>
      <c r="AI95" s="6">
        <f>CSO!J115</f>
        <v>0</v>
      </c>
      <c r="AJ95" s="6">
        <f>CSO!K115</f>
        <v>0</v>
      </c>
      <c r="AK95" s="6">
        <f>CSO!L115</f>
        <v>0</v>
      </c>
      <c r="AL95" s="6">
        <f>CSO!M115</f>
        <v>0</v>
      </c>
      <c r="AM95" s="6">
        <f>CSO!N115</f>
        <v>0</v>
      </c>
      <c r="AN95" s="6">
        <f>CSO!O115</f>
        <v>0</v>
      </c>
      <c r="AO95" s="6">
        <f>CSO!P115</f>
        <v>0</v>
      </c>
      <c r="AP95"/>
    </row>
    <row r="96" spans="1:42" s="31" customFormat="1" hidden="1" outlineLevel="1" x14ac:dyDescent="0.25">
      <c r="A96" s="100">
        <v>6420</v>
      </c>
      <c r="B96" s="18" t="s">
        <v>444</v>
      </c>
      <c r="D96" s="154">
        <f t="shared" si="27"/>
        <v>16710</v>
      </c>
      <c r="E96" s="154">
        <f t="shared" si="28"/>
        <v>16710</v>
      </c>
      <c r="F96" s="154">
        <f t="shared" si="29"/>
        <v>17226</v>
      </c>
      <c r="G96" s="154">
        <f t="shared" si="30"/>
        <v>17226</v>
      </c>
      <c r="H96" s="154">
        <f t="shared" si="31"/>
        <v>17226</v>
      </c>
      <c r="I96" s="154">
        <f t="shared" si="32"/>
        <v>17226</v>
      </c>
      <c r="J96" s="154">
        <f t="shared" si="33"/>
        <v>17226</v>
      </c>
      <c r="K96" s="154">
        <f t="shared" si="34"/>
        <v>17226</v>
      </c>
      <c r="L96" s="154">
        <f t="shared" si="35"/>
        <v>17226</v>
      </c>
      <c r="M96" s="154">
        <f t="shared" si="36"/>
        <v>17226</v>
      </c>
      <c r="N96" s="154">
        <f t="shared" si="37"/>
        <v>17226</v>
      </c>
      <c r="O96" s="154">
        <f t="shared" si="38"/>
        <v>17226</v>
      </c>
      <c r="Q96" s="59">
        <f>'School Rollup'!D96</f>
        <v>16710</v>
      </c>
      <c r="R96" s="59">
        <f>'School Rollup'!E96</f>
        <v>16710</v>
      </c>
      <c r="S96" s="59">
        <f>'School Rollup'!F96</f>
        <v>17226</v>
      </c>
      <c r="T96" s="59">
        <f>'School Rollup'!G96</f>
        <v>17226</v>
      </c>
      <c r="U96" s="59">
        <f>'School Rollup'!H96</f>
        <v>17226</v>
      </c>
      <c r="V96" s="59">
        <f>'School Rollup'!I96</f>
        <v>17226</v>
      </c>
      <c r="W96" s="59">
        <f>'School Rollup'!J96</f>
        <v>17226</v>
      </c>
      <c r="X96" s="59">
        <f>'School Rollup'!K96</f>
        <v>17226</v>
      </c>
      <c r="Y96" s="59">
        <f>'School Rollup'!L96</f>
        <v>17226</v>
      </c>
      <c r="Z96" s="59">
        <f>'School Rollup'!M96</f>
        <v>17226</v>
      </c>
      <c r="AA96" s="59">
        <f>'School Rollup'!N96</f>
        <v>17226</v>
      </c>
      <c r="AB96" s="59">
        <f>'School Rollup'!O96</f>
        <v>17226</v>
      </c>
      <c r="AC96"/>
      <c r="AD96" s="6">
        <f>CSO!E116</f>
        <v>0</v>
      </c>
      <c r="AE96" s="6">
        <f>CSO!F116</f>
        <v>0</v>
      </c>
      <c r="AF96" s="6">
        <f>CSO!G116</f>
        <v>0</v>
      </c>
      <c r="AG96" s="6">
        <f>CSO!H116</f>
        <v>0</v>
      </c>
      <c r="AH96" s="6">
        <f>CSO!I116</f>
        <v>0</v>
      </c>
      <c r="AI96" s="6">
        <f>CSO!J116</f>
        <v>0</v>
      </c>
      <c r="AJ96" s="6">
        <f>CSO!K116</f>
        <v>0</v>
      </c>
      <c r="AK96" s="6">
        <f>CSO!L116</f>
        <v>0</v>
      </c>
      <c r="AL96" s="6">
        <f>CSO!M116</f>
        <v>0</v>
      </c>
      <c r="AM96" s="6">
        <f>CSO!N116</f>
        <v>0</v>
      </c>
      <c r="AN96" s="6">
        <f>CSO!O116</f>
        <v>0</v>
      </c>
      <c r="AO96" s="6">
        <f>CSO!P116</f>
        <v>0</v>
      </c>
      <c r="AP96"/>
    </row>
    <row r="97" spans="1:42" s="31" customFormat="1" hidden="1" outlineLevel="1" x14ac:dyDescent="0.25">
      <c r="A97" s="100">
        <v>6430</v>
      </c>
      <c r="B97" s="18" t="s">
        <v>463</v>
      </c>
      <c r="D97" s="154">
        <f t="shared" si="27"/>
        <v>2520</v>
      </c>
      <c r="E97" s="154">
        <f t="shared" si="28"/>
        <v>2520</v>
      </c>
      <c r="F97" s="154">
        <f t="shared" si="29"/>
        <v>2640</v>
      </c>
      <c r="G97" s="154">
        <f t="shared" si="30"/>
        <v>2640</v>
      </c>
      <c r="H97" s="154">
        <f t="shared" si="31"/>
        <v>2640</v>
      </c>
      <c r="I97" s="154">
        <f t="shared" si="32"/>
        <v>2640</v>
      </c>
      <c r="J97" s="154">
        <f t="shared" si="33"/>
        <v>2640</v>
      </c>
      <c r="K97" s="154">
        <f t="shared" si="34"/>
        <v>2640</v>
      </c>
      <c r="L97" s="154">
        <f t="shared" si="35"/>
        <v>2640</v>
      </c>
      <c r="M97" s="154">
        <f t="shared" si="36"/>
        <v>2640</v>
      </c>
      <c r="N97" s="154">
        <f t="shared" si="37"/>
        <v>2640</v>
      </c>
      <c r="O97" s="154">
        <f t="shared" si="38"/>
        <v>2640</v>
      </c>
      <c r="Q97" s="59">
        <f>'School Rollup'!D97</f>
        <v>2520</v>
      </c>
      <c r="R97" s="59">
        <f>'School Rollup'!E97</f>
        <v>2520</v>
      </c>
      <c r="S97" s="59">
        <f>'School Rollup'!F97</f>
        <v>2640</v>
      </c>
      <c r="T97" s="59">
        <f>'School Rollup'!G97</f>
        <v>2640</v>
      </c>
      <c r="U97" s="59">
        <f>'School Rollup'!H97</f>
        <v>2640</v>
      </c>
      <c r="V97" s="59">
        <f>'School Rollup'!I97</f>
        <v>2640</v>
      </c>
      <c r="W97" s="59">
        <f>'School Rollup'!J97</f>
        <v>2640</v>
      </c>
      <c r="X97" s="59">
        <f>'School Rollup'!K97</f>
        <v>2640</v>
      </c>
      <c r="Y97" s="59">
        <f>'School Rollup'!L97</f>
        <v>2640</v>
      </c>
      <c r="Z97" s="59">
        <f>'School Rollup'!M97</f>
        <v>2640</v>
      </c>
      <c r="AA97" s="59">
        <f>'School Rollup'!N97</f>
        <v>2640</v>
      </c>
      <c r="AB97" s="59">
        <f>'School Rollup'!O97</f>
        <v>2640</v>
      </c>
      <c r="AC97"/>
      <c r="AD97" s="6">
        <f>CSO!E117</f>
        <v>0</v>
      </c>
      <c r="AE97" s="6">
        <f>CSO!F117</f>
        <v>0</v>
      </c>
      <c r="AF97" s="6">
        <f>CSO!G117</f>
        <v>0</v>
      </c>
      <c r="AG97" s="6">
        <f>CSO!H117</f>
        <v>0</v>
      </c>
      <c r="AH97" s="6">
        <f>CSO!I117</f>
        <v>0</v>
      </c>
      <c r="AI97" s="6">
        <f>CSO!J117</f>
        <v>0</v>
      </c>
      <c r="AJ97" s="6">
        <f>CSO!K117</f>
        <v>0</v>
      </c>
      <c r="AK97" s="6">
        <f>CSO!L117</f>
        <v>0</v>
      </c>
      <c r="AL97" s="6">
        <f>CSO!M117</f>
        <v>0</v>
      </c>
      <c r="AM97" s="6">
        <f>CSO!N117</f>
        <v>0</v>
      </c>
      <c r="AN97" s="6">
        <f>CSO!O117</f>
        <v>0</v>
      </c>
      <c r="AO97" s="6">
        <f>CSO!P117</f>
        <v>0</v>
      </c>
      <c r="AP97"/>
    </row>
    <row r="98" spans="1:42" s="267" customFormat="1" collapsed="1" x14ac:dyDescent="0.25">
      <c r="A98" s="286">
        <v>400</v>
      </c>
      <c r="B98" s="275" t="s">
        <v>445</v>
      </c>
      <c r="D98" s="265">
        <f t="shared" si="27"/>
        <v>20670</v>
      </c>
      <c r="E98" s="265">
        <f t="shared" si="28"/>
        <v>20698.8</v>
      </c>
      <c r="F98" s="265">
        <f t="shared" si="29"/>
        <v>21363.599999999999</v>
      </c>
      <c r="G98" s="265">
        <f t="shared" si="30"/>
        <v>21392.400000000001</v>
      </c>
      <c r="H98" s="265">
        <f t="shared" si="31"/>
        <v>21421.200000000001</v>
      </c>
      <c r="I98" s="265">
        <f t="shared" si="32"/>
        <v>21450</v>
      </c>
      <c r="J98" s="265">
        <f t="shared" si="33"/>
        <v>21478.799999999999</v>
      </c>
      <c r="K98" s="265">
        <f t="shared" si="34"/>
        <v>21507.599999999999</v>
      </c>
      <c r="L98" s="265">
        <f t="shared" si="35"/>
        <v>21536.400000000001</v>
      </c>
      <c r="M98" s="265">
        <f t="shared" si="36"/>
        <v>21565.200000000001</v>
      </c>
      <c r="N98" s="265">
        <f t="shared" si="37"/>
        <v>21594</v>
      </c>
      <c r="O98" s="265">
        <f t="shared" si="38"/>
        <v>21622.799999999999</v>
      </c>
      <c r="Q98" s="266">
        <f>'School Rollup'!D98</f>
        <v>20670</v>
      </c>
      <c r="R98" s="266">
        <f>'School Rollup'!E98</f>
        <v>20698.8</v>
      </c>
      <c r="S98" s="266">
        <f>'School Rollup'!F98</f>
        <v>21363.599999999999</v>
      </c>
      <c r="T98" s="266">
        <f>'School Rollup'!G98</f>
        <v>21392.400000000001</v>
      </c>
      <c r="U98" s="266">
        <f>'School Rollup'!H98</f>
        <v>21421.200000000001</v>
      </c>
      <c r="V98" s="266">
        <f>'School Rollup'!I98</f>
        <v>21450</v>
      </c>
      <c r="W98" s="266">
        <f>'School Rollup'!J98</f>
        <v>21478.799999999999</v>
      </c>
      <c r="X98" s="266">
        <f>'School Rollup'!K98</f>
        <v>21507.599999999999</v>
      </c>
      <c r="Y98" s="266">
        <f>'School Rollup'!L98</f>
        <v>21536.400000000001</v>
      </c>
      <c r="Z98" s="266">
        <f>'School Rollup'!M98</f>
        <v>21565.200000000001</v>
      </c>
      <c r="AA98" s="266">
        <f>'School Rollup'!N98</f>
        <v>21594</v>
      </c>
      <c r="AB98" s="266">
        <f>'School Rollup'!O98</f>
        <v>21622.799999999999</v>
      </c>
      <c r="AD98" s="268">
        <f>CSO!E118</f>
        <v>0</v>
      </c>
      <c r="AE98" s="268">
        <f>CSO!F118</f>
        <v>0</v>
      </c>
      <c r="AF98" s="268">
        <f>CSO!G118</f>
        <v>0</v>
      </c>
      <c r="AG98" s="268">
        <f>CSO!H118</f>
        <v>0</v>
      </c>
      <c r="AH98" s="268">
        <f>CSO!I118</f>
        <v>0</v>
      </c>
      <c r="AI98" s="268">
        <f>CSO!J118</f>
        <v>0</v>
      </c>
      <c r="AJ98" s="268">
        <f>CSO!K118</f>
        <v>0</v>
      </c>
      <c r="AK98" s="268">
        <f>CSO!L118</f>
        <v>0</v>
      </c>
      <c r="AL98" s="268">
        <f>CSO!M118</f>
        <v>0</v>
      </c>
      <c r="AM98" s="268">
        <f>CSO!N118</f>
        <v>0</v>
      </c>
      <c r="AN98" s="268">
        <f>CSO!O118</f>
        <v>0</v>
      </c>
      <c r="AO98" s="268">
        <f>CSO!P118</f>
        <v>0</v>
      </c>
    </row>
    <row r="99" spans="1:42" s="267" customFormat="1" x14ac:dyDescent="0.25">
      <c r="A99" s="285">
        <v>440</v>
      </c>
      <c r="B99" s="279" t="s">
        <v>464</v>
      </c>
      <c r="D99" s="281">
        <f t="shared" si="27"/>
        <v>285300</v>
      </c>
      <c r="E99" s="281">
        <f t="shared" si="28"/>
        <v>292101</v>
      </c>
      <c r="F99" s="281">
        <f t="shared" si="29"/>
        <v>356882.03</v>
      </c>
      <c r="G99" s="281">
        <f t="shared" si="30"/>
        <v>388120.24090000003</v>
      </c>
      <c r="H99" s="281">
        <f t="shared" si="31"/>
        <v>398551.90812700009</v>
      </c>
      <c r="I99" s="281">
        <f t="shared" si="32"/>
        <v>409296.02537081006</v>
      </c>
      <c r="J99" s="281">
        <f t="shared" si="33"/>
        <v>420361.30613193428</v>
      </c>
      <c r="K99" s="281">
        <f t="shared" si="34"/>
        <v>431758.72531589237</v>
      </c>
      <c r="L99" s="281">
        <f t="shared" si="35"/>
        <v>443497.52707536914</v>
      </c>
      <c r="M99" s="281">
        <f t="shared" si="36"/>
        <v>455588.23288763023</v>
      </c>
      <c r="N99" s="281">
        <f t="shared" si="37"/>
        <v>468041.64987425914</v>
      </c>
      <c r="O99" s="281">
        <f t="shared" si="38"/>
        <v>479948.87937048695</v>
      </c>
      <c r="Q99" s="288">
        <f>'School Rollup'!D99</f>
        <v>285300</v>
      </c>
      <c r="R99" s="288">
        <f>'School Rollup'!E99</f>
        <v>292101</v>
      </c>
      <c r="S99" s="288">
        <f>'School Rollup'!F99</f>
        <v>356882.03</v>
      </c>
      <c r="T99" s="288">
        <f>'School Rollup'!G99</f>
        <v>388120.24090000003</v>
      </c>
      <c r="U99" s="288">
        <f>'School Rollup'!H99</f>
        <v>398551.90812700009</v>
      </c>
      <c r="V99" s="288">
        <f>'School Rollup'!I99</f>
        <v>409296.02537081006</v>
      </c>
      <c r="W99" s="288">
        <f>'School Rollup'!J99</f>
        <v>420361.30613193428</v>
      </c>
      <c r="X99" s="288">
        <f>'School Rollup'!K99</f>
        <v>431758.72531589237</v>
      </c>
      <c r="Y99" s="288">
        <f>'School Rollup'!L99</f>
        <v>443497.52707536914</v>
      </c>
      <c r="Z99" s="288">
        <f>'School Rollup'!M99</f>
        <v>455588.23288763023</v>
      </c>
      <c r="AA99" s="288">
        <f>'School Rollup'!N99</f>
        <v>468041.64987425914</v>
      </c>
      <c r="AB99" s="288">
        <f>'School Rollup'!O99</f>
        <v>479948.87937048695</v>
      </c>
      <c r="AD99" s="289">
        <f>CSO!E119</f>
        <v>0</v>
      </c>
      <c r="AE99" s="289">
        <f>CSO!F119</f>
        <v>0</v>
      </c>
      <c r="AF99" s="289">
        <f>CSO!G119</f>
        <v>0</v>
      </c>
      <c r="AG99" s="289">
        <f>CSO!H119</f>
        <v>0</v>
      </c>
      <c r="AH99" s="289">
        <f>CSO!I119</f>
        <v>0</v>
      </c>
      <c r="AI99" s="289">
        <f>CSO!J119</f>
        <v>0</v>
      </c>
      <c r="AJ99" s="289">
        <f>CSO!K119</f>
        <v>0</v>
      </c>
      <c r="AK99" s="289">
        <f>CSO!L119</f>
        <v>0</v>
      </c>
      <c r="AL99" s="289">
        <f>CSO!M119</f>
        <v>0</v>
      </c>
      <c r="AM99" s="289">
        <f>CSO!N119</f>
        <v>0</v>
      </c>
      <c r="AN99" s="289">
        <f>CSO!O119</f>
        <v>0</v>
      </c>
      <c r="AO99" s="289">
        <f>CSO!P119</f>
        <v>0</v>
      </c>
    </row>
    <row r="100" spans="1:42" s="267" customFormat="1" x14ac:dyDescent="0.25">
      <c r="A100" s="285">
        <v>440</v>
      </c>
      <c r="B100" s="279" t="s">
        <v>554</v>
      </c>
      <c r="D100" s="281">
        <f t="shared" si="27"/>
        <v>56000</v>
      </c>
      <c r="E100" s="281">
        <f t="shared" si="28"/>
        <v>57100</v>
      </c>
      <c r="F100" s="281">
        <f t="shared" si="29"/>
        <v>58700</v>
      </c>
      <c r="G100" s="281">
        <f t="shared" si="30"/>
        <v>59800</v>
      </c>
      <c r="H100" s="281">
        <f t="shared" si="31"/>
        <v>60900.000000000007</v>
      </c>
      <c r="I100" s="281">
        <f t="shared" si="32"/>
        <v>62000.000000000007</v>
      </c>
      <c r="J100" s="281">
        <f t="shared" si="33"/>
        <v>63100.000000000007</v>
      </c>
      <c r="K100" s="281">
        <f t="shared" si="34"/>
        <v>64200.000000000007</v>
      </c>
      <c r="L100" s="281">
        <f t="shared" si="35"/>
        <v>65299.999999999993</v>
      </c>
      <c r="M100" s="281">
        <f t="shared" si="36"/>
        <v>66400</v>
      </c>
      <c r="N100" s="281">
        <f t="shared" si="37"/>
        <v>67500</v>
      </c>
      <c r="O100" s="281">
        <f t="shared" si="38"/>
        <v>68600</v>
      </c>
      <c r="Q100" s="288">
        <f>'School Rollup'!D100</f>
        <v>1000</v>
      </c>
      <c r="R100" s="288">
        <f>'School Rollup'!E100</f>
        <v>1000</v>
      </c>
      <c r="S100" s="288">
        <f>'School Rollup'!F100</f>
        <v>1500</v>
      </c>
      <c r="T100" s="288">
        <f>'School Rollup'!G100</f>
        <v>1500</v>
      </c>
      <c r="U100" s="288">
        <f>'School Rollup'!H100</f>
        <v>1500</v>
      </c>
      <c r="V100" s="288">
        <f>'School Rollup'!I100</f>
        <v>1500</v>
      </c>
      <c r="W100" s="288">
        <f>'School Rollup'!J100</f>
        <v>1500</v>
      </c>
      <c r="X100" s="288">
        <f>'School Rollup'!K100</f>
        <v>1500</v>
      </c>
      <c r="Y100" s="288">
        <f>'School Rollup'!L100</f>
        <v>1500</v>
      </c>
      <c r="Z100" s="288">
        <f>'School Rollup'!M100</f>
        <v>1500</v>
      </c>
      <c r="AA100" s="288">
        <f>'School Rollup'!N100</f>
        <v>1500</v>
      </c>
      <c r="AB100" s="288">
        <f>'School Rollup'!O100</f>
        <v>1500</v>
      </c>
      <c r="AD100" s="289">
        <f>CSO!E120</f>
        <v>55000</v>
      </c>
      <c r="AE100" s="289">
        <f>CSO!F120</f>
        <v>56100</v>
      </c>
      <c r="AF100" s="289">
        <f>CSO!G120</f>
        <v>57200</v>
      </c>
      <c r="AG100" s="289">
        <f>CSO!H120</f>
        <v>58300</v>
      </c>
      <c r="AH100" s="289">
        <f>CSO!I120</f>
        <v>59400.000000000007</v>
      </c>
      <c r="AI100" s="289">
        <f>CSO!J120</f>
        <v>60500.000000000007</v>
      </c>
      <c r="AJ100" s="289">
        <f>CSO!K120</f>
        <v>61600.000000000007</v>
      </c>
      <c r="AK100" s="289">
        <f>CSO!L120</f>
        <v>62700.000000000007</v>
      </c>
      <c r="AL100" s="289">
        <f>CSO!M120</f>
        <v>63799.999999999993</v>
      </c>
      <c r="AM100" s="289">
        <f>CSO!N120</f>
        <v>64900</v>
      </c>
      <c r="AN100" s="289">
        <f>CSO!O120</f>
        <v>66000</v>
      </c>
      <c r="AO100" s="289">
        <f>CSO!P120</f>
        <v>67100</v>
      </c>
    </row>
    <row r="101" spans="1:42" hidden="1" outlineLevel="1" x14ac:dyDescent="0.25">
      <c r="A101" s="100">
        <v>6519</v>
      </c>
      <c r="B101" s="18" t="s">
        <v>448</v>
      </c>
      <c r="D101" s="154">
        <f t="shared" ref="D101:D155" si="39">Q101+AD101</f>
        <v>3360</v>
      </c>
      <c r="E101" s="154">
        <f t="shared" si="28"/>
        <v>360</v>
      </c>
      <c r="F101" s="154">
        <f t="shared" si="29"/>
        <v>360</v>
      </c>
      <c r="G101" s="154">
        <f t="shared" si="30"/>
        <v>360</v>
      </c>
      <c r="H101" s="154">
        <f t="shared" si="31"/>
        <v>360</v>
      </c>
      <c r="I101" s="154">
        <f t="shared" si="32"/>
        <v>360</v>
      </c>
      <c r="J101" s="154">
        <f t="shared" si="33"/>
        <v>360</v>
      </c>
      <c r="K101" s="154">
        <f t="shared" si="34"/>
        <v>360</v>
      </c>
      <c r="L101" s="154">
        <f t="shared" si="35"/>
        <v>360</v>
      </c>
      <c r="M101" s="154">
        <f t="shared" si="36"/>
        <v>360</v>
      </c>
      <c r="N101" s="154">
        <f t="shared" si="37"/>
        <v>360</v>
      </c>
      <c r="O101" s="154">
        <f t="shared" si="38"/>
        <v>360</v>
      </c>
      <c r="Q101" s="59">
        <f>'School Rollup'!D101</f>
        <v>3360</v>
      </c>
      <c r="R101" s="59">
        <f>'School Rollup'!E101</f>
        <v>360</v>
      </c>
      <c r="S101" s="59">
        <f>'School Rollup'!F101</f>
        <v>360</v>
      </c>
      <c r="T101" s="59">
        <f>'School Rollup'!G101</f>
        <v>360</v>
      </c>
      <c r="U101" s="59">
        <f>'School Rollup'!H101</f>
        <v>360</v>
      </c>
      <c r="V101" s="59">
        <f>'School Rollup'!I101</f>
        <v>360</v>
      </c>
      <c r="W101" s="59">
        <f>'School Rollup'!J101</f>
        <v>360</v>
      </c>
      <c r="X101" s="59">
        <f>'School Rollup'!K101</f>
        <v>360</v>
      </c>
      <c r="Y101" s="59">
        <f>'School Rollup'!L101</f>
        <v>360</v>
      </c>
      <c r="Z101" s="59">
        <f>'School Rollup'!M101</f>
        <v>360</v>
      </c>
      <c r="AA101" s="59">
        <f>'School Rollup'!N101</f>
        <v>360</v>
      </c>
      <c r="AB101" s="59">
        <f>'School Rollup'!O101</f>
        <v>360</v>
      </c>
      <c r="AD101" s="6">
        <f>CSO!E121</f>
        <v>0</v>
      </c>
      <c r="AE101" s="6">
        <f>CSO!F121</f>
        <v>0</v>
      </c>
      <c r="AF101" s="6">
        <f>CSO!G121</f>
        <v>0</v>
      </c>
      <c r="AG101" s="6">
        <f>CSO!H121</f>
        <v>0</v>
      </c>
      <c r="AH101" s="6">
        <f>CSO!I121</f>
        <v>0</v>
      </c>
      <c r="AI101" s="6">
        <f>CSO!J121</f>
        <v>0</v>
      </c>
      <c r="AJ101" s="6">
        <f>CSO!K121</f>
        <v>0</v>
      </c>
      <c r="AK101" s="6">
        <f>CSO!L121</f>
        <v>0</v>
      </c>
      <c r="AL101" s="6">
        <f>CSO!M121</f>
        <v>0</v>
      </c>
      <c r="AM101" s="6">
        <f>CSO!N121</f>
        <v>0</v>
      </c>
      <c r="AN101" s="6">
        <f>CSO!O121</f>
        <v>0</v>
      </c>
      <c r="AO101" s="6">
        <f>CSO!P121</f>
        <v>0</v>
      </c>
    </row>
    <row r="102" spans="1:42" hidden="1" outlineLevel="1" x14ac:dyDescent="0.25">
      <c r="A102" s="100">
        <v>6530</v>
      </c>
      <c r="B102" s="18" t="s">
        <v>453</v>
      </c>
      <c r="D102" s="154">
        <f t="shared" si="39"/>
        <v>4440</v>
      </c>
      <c r="E102" s="154">
        <f t="shared" si="28"/>
        <v>4528.8</v>
      </c>
      <c r="F102" s="154">
        <f t="shared" si="29"/>
        <v>5241.6000000000004</v>
      </c>
      <c r="G102" s="154">
        <f t="shared" si="30"/>
        <v>5342.4</v>
      </c>
      <c r="H102" s="154">
        <f t="shared" si="31"/>
        <v>5443.2000000000007</v>
      </c>
      <c r="I102" s="154">
        <f t="shared" si="32"/>
        <v>5544</v>
      </c>
      <c r="J102" s="154">
        <f t="shared" si="33"/>
        <v>5644.8000000000011</v>
      </c>
      <c r="K102" s="154">
        <f t="shared" si="34"/>
        <v>5745.6000000000013</v>
      </c>
      <c r="L102" s="154">
        <f t="shared" si="35"/>
        <v>5846.3999999999987</v>
      </c>
      <c r="M102" s="154">
        <f t="shared" si="36"/>
        <v>5947.2</v>
      </c>
      <c r="N102" s="154">
        <f t="shared" si="37"/>
        <v>6048</v>
      </c>
      <c r="O102" s="154">
        <f t="shared" si="38"/>
        <v>6148.8</v>
      </c>
      <c r="Q102" s="59">
        <f>'School Rollup'!D102</f>
        <v>3000</v>
      </c>
      <c r="R102" s="59">
        <f>'School Rollup'!E102</f>
        <v>3060</v>
      </c>
      <c r="S102" s="59">
        <f>'School Rollup'!F102</f>
        <v>3744</v>
      </c>
      <c r="T102" s="59">
        <f>'School Rollup'!G102</f>
        <v>3816</v>
      </c>
      <c r="U102" s="59">
        <f>'School Rollup'!H102</f>
        <v>3888</v>
      </c>
      <c r="V102" s="59">
        <f>'School Rollup'!I102</f>
        <v>3960.0000000000005</v>
      </c>
      <c r="W102" s="59">
        <f>'School Rollup'!J102</f>
        <v>4032.0000000000005</v>
      </c>
      <c r="X102" s="59">
        <f>'School Rollup'!K102</f>
        <v>4104.0000000000009</v>
      </c>
      <c r="Y102" s="59">
        <f>'School Rollup'!L102</f>
        <v>4175.9999999999991</v>
      </c>
      <c r="Z102" s="59">
        <f>'School Rollup'!M102</f>
        <v>4248</v>
      </c>
      <c r="AA102" s="59">
        <f>'School Rollup'!N102</f>
        <v>4320</v>
      </c>
      <c r="AB102" s="59">
        <f>'School Rollup'!O102</f>
        <v>4392</v>
      </c>
      <c r="AD102" s="6">
        <f>CSO!E122</f>
        <v>1440</v>
      </c>
      <c r="AE102" s="6">
        <f>CSO!F122</f>
        <v>1468.8000000000002</v>
      </c>
      <c r="AF102" s="6">
        <f>CSO!G122</f>
        <v>1497.6000000000001</v>
      </c>
      <c r="AG102" s="6">
        <f>CSO!H122</f>
        <v>1526.4</v>
      </c>
      <c r="AH102" s="6">
        <f>CSO!I122</f>
        <v>1555.2000000000003</v>
      </c>
      <c r="AI102" s="6">
        <f>CSO!J122</f>
        <v>1584</v>
      </c>
      <c r="AJ102" s="6">
        <f>CSO!K122</f>
        <v>1612.8000000000002</v>
      </c>
      <c r="AK102" s="6">
        <f>CSO!L122</f>
        <v>1641.6000000000001</v>
      </c>
      <c r="AL102" s="6">
        <f>CSO!M122</f>
        <v>1670.3999999999999</v>
      </c>
      <c r="AM102" s="6">
        <f>CSO!N122</f>
        <v>1699.1999999999998</v>
      </c>
      <c r="AN102" s="6">
        <f>CSO!O122</f>
        <v>1728</v>
      </c>
      <c r="AO102" s="6">
        <f>CSO!P122</f>
        <v>1756.8000000000002</v>
      </c>
    </row>
    <row r="103" spans="1:42" hidden="1" outlineLevel="1" x14ac:dyDescent="0.25">
      <c r="A103" s="100">
        <v>6534</v>
      </c>
      <c r="B103" s="18" t="s">
        <v>454</v>
      </c>
      <c r="D103" s="154">
        <f t="shared" si="39"/>
        <v>3360</v>
      </c>
      <c r="E103" s="154">
        <f t="shared" si="28"/>
        <v>3427.2000000000003</v>
      </c>
      <c r="F103" s="154">
        <f t="shared" si="29"/>
        <v>3494.3999999999996</v>
      </c>
      <c r="G103" s="154">
        <f t="shared" si="30"/>
        <v>3561.6000000000004</v>
      </c>
      <c r="H103" s="154">
        <f t="shared" si="31"/>
        <v>3628.8</v>
      </c>
      <c r="I103" s="154">
        <f t="shared" si="32"/>
        <v>3696</v>
      </c>
      <c r="J103" s="154">
        <f t="shared" si="33"/>
        <v>3763.2000000000003</v>
      </c>
      <c r="K103" s="154">
        <f t="shared" si="34"/>
        <v>3830.4000000000005</v>
      </c>
      <c r="L103" s="154">
        <f t="shared" si="35"/>
        <v>3897.5999999999995</v>
      </c>
      <c r="M103" s="154">
        <f t="shared" si="36"/>
        <v>3964.7999999999997</v>
      </c>
      <c r="N103" s="154">
        <f t="shared" si="37"/>
        <v>4032</v>
      </c>
      <c r="O103" s="154">
        <f t="shared" si="38"/>
        <v>4099.2</v>
      </c>
      <c r="Q103" s="59">
        <f>'School Rollup'!D103</f>
        <v>0</v>
      </c>
      <c r="R103" s="59">
        <f>'School Rollup'!E103</f>
        <v>0</v>
      </c>
      <c r="S103" s="59">
        <f>'School Rollup'!F103</f>
        <v>0</v>
      </c>
      <c r="T103" s="59">
        <f>'School Rollup'!G103</f>
        <v>0</v>
      </c>
      <c r="U103" s="59">
        <f>'School Rollup'!H103</f>
        <v>0</v>
      </c>
      <c r="V103" s="59">
        <f>'School Rollup'!I103</f>
        <v>0</v>
      </c>
      <c r="W103" s="59">
        <f>'School Rollup'!J103</f>
        <v>0</v>
      </c>
      <c r="X103" s="59">
        <f>'School Rollup'!K103</f>
        <v>0</v>
      </c>
      <c r="Y103" s="59">
        <f>'School Rollup'!L103</f>
        <v>0</v>
      </c>
      <c r="Z103" s="59">
        <f>'School Rollup'!M103</f>
        <v>0</v>
      </c>
      <c r="AA103" s="59">
        <f>'School Rollup'!N103</f>
        <v>0</v>
      </c>
      <c r="AB103" s="59">
        <f>'School Rollup'!O103</f>
        <v>0</v>
      </c>
      <c r="AD103" s="6">
        <f>CSO!E123</f>
        <v>3360</v>
      </c>
      <c r="AE103" s="6">
        <f>CSO!F123</f>
        <v>3427.2000000000003</v>
      </c>
      <c r="AF103" s="6">
        <f>CSO!G123</f>
        <v>3494.3999999999996</v>
      </c>
      <c r="AG103" s="6">
        <f>CSO!H123</f>
        <v>3561.6000000000004</v>
      </c>
      <c r="AH103" s="6">
        <f>CSO!I123</f>
        <v>3628.8</v>
      </c>
      <c r="AI103" s="6">
        <f>CSO!J123</f>
        <v>3696</v>
      </c>
      <c r="AJ103" s="6">
        <f>CSO!K123</f>
        <v>3763.2000000000003</v>
      </c>
      <c r="AK103" s="6">
        <f>CSO!L123</f>
        <v>3830.4000000000005</v>
      </c>
      <c r="AL103" s="6">
        <f>CSO!M123</f>
        <v>3897.5999999999995</v>
      </c>
      <c r="AM103" s="6">
        <f>CSO!N123</f>
        <v>3964.7999999999997</v>
      </c>
      <c r="AN103" s="6">
        <f>CSO!O123</f>
        <v>4032</v>
      </c>
      <c r="AO103" s="6">
        <f>CSO!P123</f>
        <v>4099.2</v>
      </c>
    </row>
    <row r="104" spans="1:42" hidden="1" outlineLevel="1" x14ac:dyDescent="0.25">
      <c r="A104" s="100">
        <v>6535</v>
      </c>
      <c r="B104" s="18" t="s">
        <v>455</v>
      </c>
      <c r="D104" s="154">
        <f t="shared" si="39"/>
        <v>5136</v>
      </c>
      <c r="E104" s="154">
        <f t="shared" si="28"/>
        <v>5238.7199999999993</v>
      </c>
      <c r="F104" s="154">
        <f t="shared" si="29"/>
        <v>7138.5599999999995</v>
      </c>
      <c r="G104" s="154">
        <f t="shared" si="30"/>
        <v>7275.8400000000011</v>
      </c>
      <c r="H104" s="154">
        <f t="shared" si="31"/>
        <v>7413.1200000000008</v>
      </c>
      <c r="I104" s="154">
        <f t="shared" si="32"/>
        <v>7550.4000000000005</v>
      </c>
      <c r="J104" s="154">
        <f t="shared" si="33"/>
        <v>7687.6800000000012</v>
      </c>
      <c r="K104" s="154">
        <f t="shared" si="34"/>
        <v>7824.9600000000009</v>
      </c>
      <c r="L104" s="154">
        <f t="shared" si="35"/>
        <v>7962.24</v>
      </c>
      <c r="M104" s="154">
        <f t="shared" si="36"/>
        <v>8099.5199999999995</v>
      </c>
      <c r="N104" s="154">
        <f t="shared" si="37"/>
        <v>8236.7999999999993</v>
      </c>
      <c r="O104" s="154">
        <f t="shared" si="38"/>
        <v>8374.08</v>
      </c>
      <c r="Q104" s="59">
        <f>'School Rollup'!D104</f>
        <v>5136</v>
      </c>
      <c r="R104" s="59">
        <f>'School Rollup'!E104</f>
        <v>5238.7199999999993</v>
      </c>
      <c r="S104" s="59">
        <f>'School Rollup'!F104</f>
        <v>7138.5599999999995</v>
      </c>
      <c r="T104" s="59">
        <f>'School Rollup'!G104</f>
        <v>7275.8400000000011</v>
      </c>
      <c r="U104" s="59">
        <f>'School Rollup'!H104</f>
        <v>7413.1200000000008</v>
      </c>
      <c r="V104" s="59">
        <f>'School Rollup'!I104</f>
        <v>7550.4000000000005</v>
      </c>
      <c r="W104" s="59">
        <f>'School Rollup'!J104</f>
        <v>7687.6800000000012</v>
      </c>
      <c r="X104" s="59">
        <f>'School Rollup'!K104</f>
        <v>7824.9600000000009</v>
      </c>
      <c r="Y104" s="59">
        <f>'School Rollup'!L104</f>
        <v>7962.24</v>
      </c>
      <c r="Z104" s="59">
        <f>'School Rollup'!M104</f>
        <v>8099.5199999999995</v>
      </c>
      <c r="AA104" s="59">
        <f>'School Rollup'!N104</f>
        <v>8236.7999999999993</v>
      </c>
      <c r="AB104" s="59">
        <f>'School Rollup'!O104</f>
        <v>8374.08</v>
      </c>
      <c r="AD104" s="6">
        <f>CSO!E124</f>
        <v>0</v>
      </c>
      <c r="AE104" s="6">
        <f>CSO!F124</f>
        <v>0</v>
      </c>
      <c r="AF104" s="6">
        <f>CSO!G124</f>
        <v>0</v>
      </c>
      <c r="AG104" s="6">
        <f>CSO!H124</f>
        <v>0</v>
      </c>
      <c r="AH104" s="6">
        <f>CSO!I124</f>
        <v>0</v>
      </c>
      <c r="AI104" s="6">
        <f>CSO!J124</f>
        <v>0</v>
      </c>
      <c r="AJ104" s="6">
        <f>CSO!K124</f>
        <v>0</v>
      </c>
      <c r="AK104" s="6">
        <f>CSO!L124</f>
        <v>0</v>
      </c>
      <c r="AL104" s="6">
        <f>CSO!M124</f>
        <v>0</v>
      </c>
      <c r="AM104" s="6">
        <f>CSO!N124</f>
        <v>0</v>
      </c>
      <c r="AN104" s="6">
        <f>CSO!O124</f>
        <v>0</v>
      </c>
      <c r="AO104" s="6">
        <f>CSO!P124</f>
        <v>0</v>
      </c>
    </row>
    <row r="105" spans="1:42" hidden="1" outlineLevel="1" x14ac:dyDescent="0.25">
      <c r="A105" s="100">
        <v>6535</v>
      </c>
      <c r="B105" s="18" t="s">
        <v>576</v>
      </c>
      <c r="D105" s="154">
        <f t="shared" si="39"/>
        <v>36000</v>
      </c>
      <c r="E105" s="154">
        <f t="shared" si="28"/>
        <v>36720</v>
      </c>
      <c r="F105" s="154">
        <f t="shared" si="29"/>
        <v>37440</v>
      </c>
      <c r="G105" s="154">
        <f t="shared" si="30"/>
        <v>38160</v>
      </c>
      <c r="H105" s="154">
        <f t="shared" si="31"/>
        <v>38880</v>
      </c>
      <c r="I105" s="154">
        <f t="shared" si="32"/>
        <v>39600.000000000007</v>
      </c>
      <c r="J105" s="154">
        <f t="shared" si="33"/>
        <v>40320.000000000007</v>
      </c>
      <c r="K105" s="154">
        <f t="shared" si="34"/>
        <v>41040.000000000007</v>
      </c>
      <c r="L105" s="154">
        <f t="shared" si="35"/>
        <v>41759.999999999993</v>
      </c>
      <c r="M105" s="154">
        <f t="shared" si="36"/>
        <v>42480</v>
      </c>
      <c r="N105" s="154">
        <f t="shared" si="37"/>
        <v>43200</v>
      </c>
      <c r="O105" s="154">
        <f t="shared" si="38"/>
        <v>43920</v>
      </c>
      <c r="Q105" s="59">
        <f>'School Rollup'!D105</f>
        <v>0</v>
      </c>
      <c r="R105" s="59">
        <f>'School Rollup'!E105</f>
        <v>0</v>
      </c>
      <c r="S105" s="59">
        <f>'School Rollup'!F105</f>
        <v>0</v>
      </c>
      <c r="T105" s="59">
        <f>'School Rollup'!G105</f>
        <v>0</v>
      </c>
      <c r="U105" s="59">
        <f>'School Rollup'!H105</f>
        <v>0</v>
      </c>
      <c r="V105" s="59">
        <f>'School Rollup'!I105</f>
        <v>0</v>
      </c>
      <c r="W105" s="59">
        <f>'School Rollup'!J105</f>
        <v>0</v>
      </c>
      <c r="X105" s="59">
        <f>'School Rollup'!K105</f>
        <v>0</v>
      </c>
      <c r="Y105" s="59">
        <f>'School Rollup'!L105</f>
        <v>0</v>
      </c>
      <c r="Z105" s="59">
        <f>'School Rollup'!M105</f>
        <v>0</v>
      </c>
      <c r="AA105" s="59">
        <f>'School Rollup'!N105</f>
        <v>0</v>
      </c>
      <c r="AB105" s="59">
        <f>'School Rollup'!O105</f>
        <v>0</v>
      </c>
      <c r="AD105" s="6">
        <f>CSO!E125</f>
        <v>36000</v>
      </c>
      <c r="AE105" s="6">
        <f>CSO!F125</f>
        <v>36720</v>
      </c>
      <c r="AF105" s="6">
        <f>CSO!G125</f>
        <v>37440</v>
      </c>
      <c r="AG105" s="6">
        <f>CSO!H125</f>
        <v>38160</v>
      </c>
      <c r="AH105" s="6">
        <f>CSO!I125</f>
        <v>38880</v>
      </c>
      <c r="AI105" s="6">
        <f>CSO!J125</f>
        <v>39600.000000000007</v>
      </c>
      <c r="AJ105" s="6">
        <f>CSO!K125</f>
        <v>40320.000000000007</v>
      </c>
      <c r="AK105" s="6">
        <f>CSO!L125</f>
        <v>41040.000000000007</v>
      </c>
      <c r="AL105" s="6">
        <f>CSO!M125</f>
        <v>41759.999999999993</v>
      </c>
      <c r="AM105" s="6">
        <f>CSO!N125</f>
        <v>42480</v>
      </c>
      <c r="AN105" s="6">
        <f>CSO!O125</f>
        <v>43200</v>
      </c>
      <c r="AO105" s="6">
        <f>CSO!P125</f>
        <v>43920</v>
      </c>
    </row>
    <row r="106" spans="1:42" s="267" customFormat="1" collapsed="1" x14ac:dyDescent="0.25">
      <c r="A106" s="286">
        <v>500</v>
      </c>
      <c r="B106" s="275" t="s">
        <v>580</v>
      </c>
      <c r="D106" s="265">
        <f t="shared" si="39"/>
        <v>52296</v>
      </c>
      <c r="E106" s="265">
        <f t="shared" si="28"/>
        <v>50274.720000000001</v>
      </c>
      <c r="F106" s="265">
        <f t="shared" si="29"/>
        <v>53674.559999999998</v>
      </c>
      <c r="G106" s="265">
        <f t="shared" si="30"/>
        <v>54699.839999999997</v>
      </c>
      <c r="H106" s="265">
        <f t="shared" si="31"/>
        <v>55725.120000000003</v>
      </c>
      <c r="I106" s="265">
        <f t="shared" si="32"/>
        <v>56750.400000000009</v>
      </c>
      <c r="J106" s="265">
        <f t="shared" si="33"/>
        <v>57775.680000000008</v>
      </c>
      <c r="K106" s="265">
        <f t="shared" si="34"/>
        <v>58800.960000000006</v>
      </c>
      <c r="L106" s="265">
        <f t="shared" si="35"/>
        <v>59826.239999999991</v>
      </c>
      <c r="M106" s="265">
        <f t="shared" si="36"/>
        <v>60851.520000000004</v>
      </c>
      <c r="N106" s="265">
        <f t="shared" si="37"/>
        <v>61876.800000000003</v>
      </c>
      <c r="O106" s="265">
        <f t="shared" si="38"/>
        <v>62902.080000000002</v>
      </c>
      <c r="Q106" s="266">
        <f>'School Rollup'!D106</f>
        <v>11496</v>
      </c>
      <c r="R106" s="266">
        <f>'School Rollup'!E106</f>
        <v>8658.7199999999993</v>
      </c>
      <c r="S106" s="266">
        <f>'School Rollup'!F106</f>
        <v>11242.559999999998</v>
      </c>
      <c r="T106" s="266">
        <f>'School Rollup'!G106</f>
        <v>11451.84</v>
      </c>
      <c r="U106" s="266">
        <f>'School Rollup'!H106</f>
        <v>11661.12</v>
      </c>
      <c r="V106" s="266">
        <f>'School Rollup'!I106</f>
        <v>11870.400000000001</v>
      </c>
      <c r="W106" s="266">
        <f>'School Rollup'!J106</f>
        <v>12079.680000000002</v>
      </c>
      <c r="X106" s="266">
        <f>'School Rollup'!K106</f>
        <v>12288.960000000001</v>
      </c>
      <c r="Y106" s="266">
        <f>'School Rollup'!L106</f>
        <v>12498.24</v>
      </c>
      <c r="Z106" s="266">
        <f>'School Rollup'!M106</f>
        <v>12707.52</v>
      </c>
      <c r="AA106" s="266">
        <f>'School Rollup'!N106</f>
        <v>12916.800000000001</v>
      </c>
      <c r="AB106" s="266">
        <f>'School Rollup'!O106</f>
        <v>13126.08</v>
      </c>
      <c r="AD106" s="268">
        <f>CSO!E126</f>
        <v>40800</v>
      </c>
      <c r="AE106" s="268">
        <f>CSO!F126</f>
        <v>41616</v>
      </c>
      <c r="AF106" s="268">
        <f>CSO!G126</f>
        <v>42432</v>
      </c>
      <c r="AG106" s="268">
        <f>CSO!H126</f>
        <v>43248</v>
      </c>
      <c r="AH106" s="268">
        <f>CSO!I126</f>
        <v>44064</v>
      </c>
      <c r="AI106" s="268">
        <f>CSO!J126</f>
        <v>44880.000000000007</v>
      </c>
      <c r="AJ106" s="268">
        <f>CSO!K126</f>
        <v>45696.000000000007</v>
      </c>
      <c r="AK106" s="268">
        <f>CSO!L126</f>
        <v>46512.000000000007</v>
      </c>
      <c r="AL106" s="268">
        <f>CSO!M126</f>
        <v>47327.999999999993</v>
      </c>
      <c r="AM106" s="268">
        <f>CSO!N126</f>
        <v>48144</v>
      </c>
      <c r="AN106" s="268">
        <f>CSO!O126</f>
        <v>48960</v>
      </c>
      <c r="AO106" s="268">
        <f>CSO!P126</f>
        <v>49776</v>
      </c>
    </row>
    <row r="107" spans="1:42" hidden="1" outlineLevel="1" x14ac:dyDescent="0.25">
      <c r="A107" s="100">
        <v>6521</v>
      </c>
      <c r="B107" s="18" t="s">
        <v>449</v>
      </c>
      <c r="D107" s="154">
        <f t="shared" si="39"/>
        <v>3300</v>
      </c>
      <c r="E107" s="154">
        <f t="shared" si="28"/>
        <v>3433</v>
      </c>
      <c r="F107" s="154">
        <f t="shared" si="29"/>
        <v>3569</v>
      </c>
      <c r="G107" s="154">
        <f t="shared" si="30"/>
        <v>3708</v>
      </c>
      <c r="H107" s="154">
        <f t="shared" si="31"/>
        <v>3849</v>
      </c>
      <c r="I107" s="154">
        <f t="shared" si="32"/>
        <v>3993</v>
      </c>
      <c r="J107" s="154">
        <f t="shared" si="33"/>
        <v>4152</v>
      </c>
      <c r="K107" s="154">
        <f t="shared" si="34"/>
        <v>4314</v>
      </c>
      <c r="L107" s="154">
        <f t="shared" si="35"/>
        <v>4479</v>
      </c>
      <c r="M107" s="154">
        <f t="shared" si="36"/>
        <v>4647</v>
      </c>
      <c r="N107" s="154">
        <f t="shared" si="37"/>
        <v>4818</v>
      </c>
      <c r="O107" s="154">
        <f t="shared" si="38"/>
        <v>4992</v>
      </c>
      <c r="Q107" s="59">
        <f>'School Rollup'!D107</f>
        <v>3300</v>
      </c>
      <c r="R107" s="59">
        <f>'School Rollup'!E107</f>
        <v>3433</v>
      </c>
      <c r="S107" s="59">
        <f>'School Rollup'!F107</f>
        <v>3569</v>
      </c>
      <c r="T107" s="59">
        <f>'School Rollup'!G107</f>
        <v>3708</v>
      </c>
      <c r="U107" s="59">
        <f>'School Rollup'!H107</f>
        <v>3849</v>
      </c>
      <c r="V107" s="59">
        <f>'School Rollup'!I107</f>
        <v>3993</v>
      </c>
      <c r="W107" s="59">
        <f>'School Rollup'!J107</f>
        <v>4152</v>
      </c>
      <c r="X107" s="59">
        <f>'School Rollup'!K107</f>
        <v>4314</v>
      </c>
      <c r="Y107" s="59">
        <f>'School Rollup'!L107</f>
        <v>4479</v>
      </c>
      <c r="Z107" s="59">
        <f>'School Rollup'!M107</f>
        <v>4647</v>
      </c>
      <c r="AA107" s="59">
        <f>'School Rollup'!N107</f>
        <v>4818</v>
      </c>
      <c r="AB107" s="59">
        <f>'School Rollup'!O107</f>
        <v>4992</v>
      </c>
      <c r="AD107" s="6">
        <f>CSO!E127</f>
        <v>0</v>
      </c>
      <c r="AE107" s="6">
        <f>CSO!F127</f>
        <v>0</v>
      </c>
      <c r="AF107" s="6">
        <f>CSO!G127</f>
        <v>0</v>
      </c>
      <c r="AG107" s="6">
        <f>CSO!H127</f>
        <v>0</v>
      </c>
      <c r="AH107" s="6">
        <f>CSO!I127</f>
        <v>0</v>
      </c>
      <c r="AI107" s="6">
        <f>CSO!J127</f>
        <v>0</v>
      </c>
      <c r="AJ107" s="6">
        <f>CSO!K127</f>
        <v>0</v>
      </c>
      <c r="AK107" s="6">
        <f>CSO!L127</f>
        <v>0</v>
      </c>
      <c r="AL107" s="6">
        <f>CSO!M127</f>
        <v>0</v>
      </c>
      <c r="AM107" s="6">
        <f>CSO!N127</f>
        <v>0</v>
      </c>
      <c r="AN107" s="6">
        <f>CSO!O127</f>
        <v>0</v>
      </c>
      <c r="AO107" s="6">
        <f>CSO!P127</f>
        <v>0</v>
      </c>
    </row>
    <row r="108" spans="1:42" hidden="1" outlineLevel="1" x14ac:dyDescent="0.25">
      <c r="A108" s="100">
        <v>6522</v>
      </c>
      <c r="B108" s="18" t="s">
        <v>457</v>
      </c>
      <c r="D108" s="154">
        <f t="shared" si="39"/>
        <v>33000</v>
      </c>
      <c r="E108" s="154">
        <f t="shared" si="28"/>
        <v>38372</v>
      </c>
      <c r="F108" s="154">
        <f t="shared" si="29"/>
        <v>45760</v>
      </c>
      <c r="G108" s="154">
        <f t="shared" si="30"/>
        <v>49905</v>
      </c>
      <c r="H108" s="154">
        <f t="shared" si="31"/>
        <v>53222</v>
      </c>
      <c r="I108" s="154">
        <f t="shared" si="32"/>
        <v>56144</v>
      </c>
      <c r="J108" s="154">
        <f t="shared" si="33"/>
        <v>59235</v>
      </c>
      <c r="K108" s="154">
        <f t="shared" si="34"/>
        <v>62399</v>
      </c>
      <c r="L108" s="154">
        <f t="shared" si="35"/>
        <v>65893</v>
      </c>
      <c r="M108" s="154">
        <f t="shared" si="36"/>
        <v>69469</v>
      </c>
      <c r="N108" s="154">
        <f t="shared" si="37"/>
        <v>73234</v>
      </c>
      <c r="O108" s="154">
        <f t="shared" si="38"/>
        <v>77192</v>
      </c>
      <c r="Q108" s="59">
        <f>'School Rollup'!D108</f>
        <v>0</v>
      </c>
      <c r="R108" s="59">
        <f>'School Rollup'!E108</f>
        <v>0</v>
      </c>
      <c r="S108" s="59">
        <f>'School Rollup'!F108</f>
        <v>0</v>
      </c>
      <c r="T108" s="59">
        <f>'School Rollup'!G108</f>
        <v>0</v>
      </c>
      <c r="U108" s="59">
        <f>'School Rollup'!H108</f>
        <v>0</v>
      </c>
      <c r="V108" s="59">
        <f>'School Rollup'!I108</f>
        <v>0</v>
      </c>
      <c r="W108" s="59">
        <f>'School Rollup'!J108</f>
        <v>0</v>
      </c>
      <c r="X108" s="59">
        <f>'School Rollup'!K108</f>
        <v>0</v>
      </c>
      <c r="Y108" s="59">
        <f>'School Rollup'!L108</f>
        <v>0</v>
      </c>
      <c r="Z108" s="59">
        <f>'School Rollup'!M108</f>
        <v>0</v>
      </c>
      <c r="AA108" s="59">
        <f>'School Rollup'!N108</f>
        <v>0</v>
      </c>
      <c r="AB108" s="59">
        <f>'School Rollup'!O108</f>
        <v>0</v>
      </c>
      <c r="AD108" s="6">
        <f>CSO!E128</f>
        <v>33000</v>
      </c>
      <c r="AE108" s="6">
        <f>CSO!F128</f>
        <v>38372</v>
      </c>
      <c r="AF108" s="6">
        <f>CSO!G128</f>
        <v>45760</v>
      </c>
      <c r="AG108" s="6">
        <f>CSO!H128</f>
        <v>49905</v>
      </c>
      <c r="AH108" s="6">
        <f>CSO!I128</f>
        <v>53222</v>
      </c>
      <c r="AI108" s="6">
        <f>CSO!J128</f>
        <v>56144</v>
      </c>
      <c r="AJ108" s="6">
        <f>CSO!K128</f>
        <v>59235</v>
      </c>
      <c r="AK108" s="6">
        <f>CSO!L128</f>
        <v>62399</v>
      </c>
      <c r="AL108" s="6">
        <f>CSO!M128</f>
        <v>65893</v>
      </c>
      <c r="AM108" s="6">
        <f>CSO!N128</f>
        <v>69469</v>
      </c>
      <c r="AN108" s="6">
        <f>CSO!O128</f>
        <v>73234</v>
      </c>
      <c r="AO108" s="6">
        <f>CSO!P128</f>
        <v>77192</v>
      </c>
    </row>
    <row r="109" spans="1:42" hidden="1" outlineLevel="1" x14ac:dyDescent="0.25">
      <c r="A109" s="100">
        <v>6522</v>
      </c>
      <c r="B109" s="18" t="s">
        <v>458</v>
      </c>
      <c r="D109" s="154">
        <f t="shared" si="39"/>
        <v>9000</v>
      </c>
      <c r="E109" s="154">
        <f t="shared" si="28"/>
        <v>10465</v>
      </c>
      <c r="F109" s="154">
        <f t="shared" si="29"/>
        <v>12480</v>
      </c>
      <c r="G109" s="154">
        <f t="shared" si="30"/>
        <v>13610</v>
      </c>
      <c r="H109" s="154">
        <f t="shared" si="31"/>
        <v>14515</v>
      </c>
      <c r="I109" s="154">
        <f t="shared" si="32"/>
        <v>15312</v>
      </c>
      <c r="J109" s="154">
        <f t="shared" si="33"/>
        <v>16155</v>
      </c>
      <c r="K109" s="154">
        <f t="shared" si="34"/>
        <v>17018</v>
      </c>
      <c r="L109" s="154">
        <f t="shared" si="35"/>
        <v>17971</v>
      </c>
      <c r="M109" s="154">
        <f t="shared" si="36"/>
        <v>18946</v>
      </c>
      <c r="N109" s="154">
        <f t="shared" si="37"/>
        <v>19973</v>
      </c>
      <c r="O109" s="154">
        <f t="shared" si="38"/>
        <v>21052</v>
      </c>
      <c r="Q109" s="59">
        <f>'School Rollup'!D109</f>
        <v>0</v>
      </c>
      <c r="R109" s="59">
        <f>'School Rollup'!E109</f>
        <v>0</v>
      </c>
      <c r="S109" s="59">
        <f>'School Rollup'!F109</f>
        <v>0</v>
      </c>
      <c r="T109" s="59">
        <f>'School Rollup'!G109</f>
        <v>0</v>
      </c>
      <c r="U109" s="59">
        <f>'School Rollup'!H109</f>
        <v>0</v>
      </c>
      <c r="V109" s="59">
        <f>'School Rollup'!I109</f>
        <v>0</v>
      </c>
      <c r="W109" s="59">
        <f>'School Rollup'!J109</f>
        <v>0</v>
      </c>
      <c r="X109" s="59">
        <f>'School Rollup'!K109</f>
        <v>0</v>
      </c>
      <c r="Y109" s="59">
        <f>'School Rollup'!L109</f>
        <v>0</v>
      </c>
      <c r="Z109" s="59">
        <f>'School Rollup'!M109</f>
        <v>0</v>
      </c>
      <c r="AA109" s="59">
        <f>'School Rollup'!N109</f>
        <v>0</v>
      </c>
      <c r="AB109" s="59">
        <f>'School Rollup'!O109</f>
        <v>0</v>
      </c>
      <c r="AD109" s="6">
        <f>CSO!E129</f>
        <v>9000</v>
      </c>
      <c r="AE109" s="6">
        <f>CSO!F129</f>
        <v>10465</v>
      </c>
      <c r="AF109" s="6">
        <f>CSO!G129</f>
        <v>12480</v>
      </c>
      <c r="AG109" s="6">
        <f>CSO!H129</f>
        <v>13610</v>
      </c>
      <c r="AH109" s="6">
        <f>CSO!I129</f>
        <v>14515</v>
      </c>
      <c r="AI109" s="6">
        <f>CSO!J129</f>
        <v>15312</v>
      </c>
      <c r="AJ109" s="6">
        <f>CSO!K129</f>
        <v>16155</v>
      </c>
      <c r="AK109" s="6">
        <f>CSO!L129</f>
        <v>17018</v>
      </c>
      <c r="AL109" s="6">
        <f>CSO!M129</f>
        <v>17971</v>
      </c>
      <c r="AM109" s="6">
        <f>CSO!N129</f>
        <v>18946</v>
      </c>
      <c r="AN109" s="6">
        <f>CSO!O129</f>
        <v>19973</v>
      </c>
      <c r="AO109" s="6">
        <f>CSO!P129</f>
        <v>21052</v>
      </c>
    </row>
    <row r="110" spans="1:42" hidden="1" outlineLevel="1" x14ac:dyDescent="0.25">
      <c r="A110" s="100">
        <v>6523</v>
      </c>
      <c r="B110" s="18" t="s">
        <v>450</v>
      </c>
      <c r="D110" s="154">
        <f t="shared" si="39"/>
        <v>1500</v>
      </c>
      <c r="E110" s="154">
        <f t="shared" si="28"/>
        <v>1744</v>
      </c>
      <c r="F110" s="154">
        <f t="shared" si="29"/>
        <v>2080</v>
      </c>
      <c r="G110" s="154">
        <f t="shared" si="30"/>
        <v>2268</v>
      </c>
      <c r="H110" s="154">
        <f t="shared" si="31"/>
        <v>2419</v>
      </c>
      <c r="I110" s="154">
        <f t="shared" si="32"/>
        <v>2552</v>
      </c>
      <c r="J110" s="154">
        <f t="shared" si="33"/>
        <v>2692</v>
      </c>
      <c r="K110" s="154">
        <f t="shared" si="34"/>
        <v>2836</v>
      </c>
      <c r="L110" s="154">
        <f t="shared" si="35"/>
        <v>2995</v>
      </c>
      <c r="M110" s="154">
        <f t="shared" si="36"/>
        <v>3158</v>
      </c>
      <c r="N110" s="154">
        <f t="shared" si="37"/>
        <v>3329</v>
      </c>
      <c r="O110" s="154">
        <f t="shared" si="38"/>
        <v>3509</v>
      </c>
      <c r="Q110" s="59">
        <f>'School Rollup'!D110</f>
        <v>0</v>
      </c>
      <c r="R110" s="59">
        <f>'School Rollup'!E110</f>
        <v>0</v>
      </c>
      <c r="S110" s="59">
        <f>'School Rollup'!F110</f>
        <v>0</v>
      </c>
      <c r="T110" s="59">
        <f>'School Rollup'!G110</f>
        <v>0</v>
      </c>
      <c r="U110" s="59">
        <f>'School Rollup'!H110</f>
        <v>0</v>
      </c>
      <c r="V110" s="59">
        <f>'School Rollup'!I110</f>
        <v>0</v>
      </c>
      <c r="W110" s="59">
        <f>'School Rollup'!J110</f>
        <v>0</v>
      </c>
      <c r="X110" s="59">
        <f>'School Rollup'!K110</f>
        <v>0</v>
      </c>
      <c r="Y110" s="59">
        <f>'School Rollup'!L110</f>
        <v>0</v>
      </c>
      <c r="Z110" s="59">
        <f>'School Rollup'!M110</f>
        <v>0</v>
      </c>
      <c r="AA110" s="59">
        <f>'School Rollup'!N110</f>
        <v>0</v>
      </c>
      <c r="AB110" s="59">
        <f>'School Rollup'!O110</f>
        <v>0</v>
      </c>
      <c r="AD110" s="6">
        <f>CSO!E130</f>
        <v>1500</v>
      </c>
      <c r="AE110" s="6">
        <f>CSO!F130</f>
        <v>1744</v>
      </c>
      <c r="AF110" s="6">
        <f>CSO!G130</f>
        <v>2080</v>
      </c>
      <c r="AG110" s="6">
        <f>CSO!H130</f>
        <v>2268</v>
      </c>
      <c r="AH110" s="6">
        <f>CSO!I130</f>
        <v>2419</v>
      </c>
      <c r="AI110" s="6">
        <f>CSO!J130</f>
        <v>2552</v>
      </c>
      <c r="AJ110" s="6">
        <f>CSO!K130</f>
        <v>2692</v>
      </c>
      <c r="AK110" s="6">
        <f>CSO!L130</f>
        <v>2836</v>
      </c>
      <c r="AL110" s="6">
        <f>CSO!M130</f>
        <v>2995</v>
      </c>
      <c r="AM110" s="6">
        <f>CSO!N130</f>
        <v>3158</v>
      </c>
      <c r="AN110" s="6">
        <f>CSO!O130</f>
        <v>3329</v>
      </c>
      <c r="AO110" s="6">
        <f>CSO!P130</f>
        <v>3509</v>
      </c>
    </row>
    <row r="111" spans="1:42" hidden="1" outlineLevel="1" x14ac:dyDescent="0.25">
      <c r="A111" s="100">
        <v>6523</v>
      </c>
      <c r="B111" s="18" t="s">
        <v>451</v>
      </c>
      <c r="D111" s="154">
        <f t="shared" si="39"/>
        <v>375</v>
      </c>
      <c r="E111" s="154">
        <f t="shared" si="28"/>
        <v>436</v>
      </c>
      <c r="F111" s="154">
        <f t="shared" si="29"/>
        <v>520</v>
      </c>
      <c r="G111" s="154">
        <f t="shared" si="30"/>
        <v>567</v>
      </c>
      <c r="H111" s="154">
        <f t="shared" si="31"/>
        <v>605</v>
      </c>
      <c r="I111" s="154">
        <f t="shared" si="32"/>
        <v>638</v>
      </c>
      <c r="J111" s="154">
        <f t="shared" si="33"/>
        <v>673</v>
      </c>
      <c r="K111" s="154">
        <f t="shared" si="34"/>
        <v>709</v>
      </c>
      <c r="L111" s="154">
        <f t="shared" si="35"/>
        <v>749</v>
      </c>
      <c r="M111" s="154">
        <f t="shared" si="36"/>
        <v>789</v>
      </c>
      <c r="N111" s="154">
        <f t="shared" si="37"/>
        <v>832</v>
      </c>
      <c r="O111" s="154">
        <f t="shared" si="38"/>
        <v>877</v>
      </c>
      <c r="Q111" s="59">
        <f>'School Rollup'!D111</f>
        <v>0</v>
      </c>
      <c r="R111" s="59">
        <f>'School Rollup'!E111</f>
        <v>0</v>
      </c>
      <c r="S111" s="59">
        <f>'School Rollup'!F111</f>
        <v>0</v>
      </c>
      <c r="T111" s="59">
        <f>'School Rollup'!G111</f>
        <v>0</v>
      </c>
      <c r="U111" s="59">
        <f>'School Rollup'!H111</f>
        <v>0</v>
      </c>
      <c r="V111" s="59">
        <f>'School Rollup'!I111</f>
        <v>0</v>
      </c>
      <c r="W111" s="59">
        <f>'School Rollup'!J111</f>
        <v>0</v>
      </c>
      <c r="X111" s="59">
        <f>'School Rollup'!K111</f>
        <v>0</v>
      </c>
      <c r="Y111" s="59">
        <f>'School Rollup'!L111</f>
        <v>0</v>
      </c>
      <c r="Z111" s="59">
        <f>'School Rollup'!M111</f>
        <v>0</v>
      </c>
      <c r="AA111" s="59">
        <f>'School Rollup'!N111</f>
        <v>0</v>
      </c>
      <c r="AB111" s="59">
        <f>'School Rollup'!O111</f>
        <v>0</v>
      </c>
      <c r="AD111" s="6">
        <f>CSO!E131</f>
        <v>375</v>
      </c>
      <c r="AE111" s="6">
        <f>CSO!F131</f>
        <v>436</v>
      </c>
      <c r="AF111" s="6">
        <f>CSO!G131</f>
        <v>520</v>
      </c>
      <c r="AG111" s="6">
        <f>CSO!H131</f>
        <v>567</v>
      </c>
      <c r="AH111" s="6">
        <f>CSO!I131</f>
        <v>605</v>
      </c>
      <c r="AI111" s="6">
        <f>CSO!J131</f>
        <v>638</v>
      </c>
      <c r="AJ111" s="6">
        <f>CSO!K131</f>
        <v>673</v>
      </c>
      <c r="AK111" s="6">
        <f>CSO!L131</f>
        <v>709</v>
      </c>
      <c r="AL111" s="6">
        <f>CSO!M131</f>
        <v>749</v>
      </c>
      <c r="AM111" s="6">
        <f>CSO!N131</f>
        <v>789</v>
      </c>
      <c r="AN111" s="6">
        <f>CSO!O131</f>
        <v>832</v>
      </c>
      <c r="AO111" s="6">
        <f>CSO!P131</f>
        <v>877</v>
      </c>
    </row>
    <row r="112" spans="1:42" hidden="1" outlineLevel="1" x14ac:dyDescent="0.25">
      <c r="A112" s="100">
        <v>6523</v>
      </c>
      <c r="B112" s="18" t="s">
        <v>452</v>
      </c>
      <c r="D112" s="154">
        <f t="shared" si="39"/>
        <v>5438</v>
      </c>
      <c r="E112" s="154">
        <f t="shared" si="28"/>
        <v>6323</v>
      </c>
      <c r="F112" s="154">
        <f t="shared" si="29"/>
        <v>7540</v>
      </c>
      <c r="G112" s="154">
        <f t="shared" si="30"/>
        <v>8223</v>
      </c>
      <c r="H112" s="154">
        <f t="shared" si="31"/>
        <v>8770</v>
      </c>
      <c r="I112" s="154">
        <f t="shared" si="32"/>
        <v>9251</v>
      </c>
      <c r="J112" s="154">
        <f t="shared" si="33"/>
        <v>9760</v>
      </c>
      <c r="K112" s="154">
        <f t="shared" si="34"/>
        <v>10282</v>
      </c>
      <c r="L112" s="154">
        <f t="shared" si="35"/>
        <v>10857</v>
      </c>
      <c r="M112" s="154">
        <f t="shared" si="36"/>
        <v>11447</v>
      </c>
      <c r="N112" s="154">
        <f t="shared" si="37"/>
        <v>12067</v>
      </c>
      <c r="O112" s="154">
        <f t="shared" si="38"/>
        <v>12719</v>
      </c>
      <c r="Q112" s="59">
        <f>'School Rollup'!D112</f>
        <v>0</v>
      </c>
      <c r="R112" s="59">
        <f>'School Rollup'!E112</f>
        <v>0</v>
      </c>
      <c r="S112" s="59">
        <f>'School Rollup'!F112</f>
        <v>0</v>
      </c>
      <c r="T112" s="59">
        <f>'School Rollup'!G112</f>
        <v>0</v>
      </c>
      <c r="U112" s="59">
        <f>'School Rollup'!H112</f>
        <v>0</v>
      </c>
      <c r="V112" s="59">
        <f>'School Rollup'!I112</f>
        <v>0</v>
      </c>
      <c r="W112" s="59">
        <f>'School Rollup'!J112</f>
        <v>0</v>
      </c>
      <c r="X112" s="59">
        <f>'School Rollup'!K112</f>
        <v>0</v>
      </c>
      <c r="Y112" s="59">
        <f>'School Rollup'!L112</f>
        <v>0</v>
      </c>
      <c r="Z112" s="59">
        <f>'School Rollup'!M112</f>
        <v>0</v>
      </c>
      <c r="AA112" s="59">
        <f>'School Rollup'!N112</f>
        <v>0</v>
      </c>
      <c r="AB112" s="59">
        <f>'School Rollup'!O112</f>
        <v>0</v>
      </c>
      <c r="AD112" s="6">
        <f>CSO!E132</f>
        <v>5438</v>
      </c>
      <c r="AE112" s="6">
        <f>CSO!F132</f>
        <v>6323</v>
      </c>
      <c r="AF112" s="6">
        <f>CSO!G132</f>
        <v>7540</v>
      </c>
      <c r="AG112" s="6">
        <f>CSO!H132</f>
        <v>8223</v>
      </c>
      <c r="AH112" s="6">
        <f>CSO!I132</f>
        <v>8770</v>
      </c>
      <c r="AI112" s="6">
        <f>CSO!J132</f>
        <v>9251</v>
      </c>
      <c r="AJ112" s="6">
        <f>CSO!K132</f>
        <v>9760</v>
      </c>
      <c r="AK112" s="6">
        <f>CSO!L132</f>
        <v>10282</v>
      </c>
      <c r="AL112" s="6">
        <f>CSO!M132</f>
        <v>10857</v>
      </c>
      <c r="AM112" s="6">
        <f>CSO!N132</f>
        <v>11447</v>
      </c>
      <c r="AN112" s="6">
        <f>CSO!O132</f>
        <v>12067</v>
      </c>
      <c r="AO112" s="6">
        <f>CSO!P132</f>
        <v>12719</v>
      </c>
    </row>
    <row r="113" spans="1:42" s="267" customFormat="1" collapsed="1" x14ac:dyDescent="0.25">
      <c r="A113" s="286">
        <v>520</v>
      </c>
      <c r="B113" s="275" t="s">
        <v>447</v>
      </c>
      <c r="D113" s="265">
        <f t="shared" si="39"/>
        <v>52613</v>
      </c>
      <c r="E113" s="265">
        <f t="shared" si="28"/>
        <v>60773</v>
      </c>
      <c r="F113" s="265">
        <f t="shared" si="29"/>
        <v>71949</v>
      </c>
      <c r="G113" s="265">
        <f t="shared" si="30"/>
        <v>78281</v>
      </c>
      <c r="H113" s="265">
        <f t="shared" si="31"/>
        <v>83380</v>
      </c>
      <c r="I113" s="265">
        <f t="shared" si="32"/>
        <v>87890</v>
      </c>
      <c r="J113" s="265">
        <f t="shared" si="33"/>
        <v>92667</v>
      </c>
      <c r="K113" s="265">
        <f t="shared" si="34"/>
        <v>97558</v>
      </c>
      <c r="L113" s="265">
        <f t="shared" si="35"/>
        <v>102944</v>
      </c>
      <c r="M113" s="265">
        <f t="shared" si="36"/>
        <v>108456</v>
      </c>
      <c r="N113" s="265">
        <f t="shared" si="37"/>
        <v>114253</v>
      </c>
      <c r="O113" s="265">
        <f t="shared" si="38"/>
        <v>120341</v>
      </c>
      <c r="Q113" s="266">
        <f>'School Rollup'!D113</f>
        <v>3300</v>
      </c>
      <c r="R113" s="266">
        <f>'School Rollup'!E113</f>
        <v>3433</v>
      </c>
      <c r="S113" s="266">
        <f>'School Rollup'!F113</f>
        <v>3569</v>
      </c>
      <c r="T113" s="266">
        <f>'School Rollup'!G113</f>
        <v>3708</v>
      </c>
      <c r="U113" s="266">
        <f>'School Rollup'!H113</f>
        <v>3849</v>
      </c>
      <c r="V113" s="266">
        <f>'School Rollup'!I113</f>
        <v>3993</v>
      </c>
      <c r="W113" s="266">
        <f>'School Rollup'!J113</f>
        <v>4152</v>
      </c>
      <c r="X113" s="266">
        <f>'School Rollup'!K113</f>
        <v>4314</v>
      </c>
      <c r="Y113" s="266">
        <f>'School Rollup'!L113</f>
        <v>4479</v>
      </c>
      <c r="Z113" s="266">
        <f>'School Rollup'!M113</f>
        <v>4647</v>
      </c>
      <c r="AA113" s="266">
        <f>'School Rollup'!N113</f>
        <v>4818</v>
      </c>
      <c r="AB113" s="266">
        <f>'School Rollup'!O113</f>
        <v>4992</v>
      </c>
      <c r="AD113" s="268">
        <f>CSO!E133</f>
        <v>49313</v>
      </c>
      <c r="AE113" s="268">
        <f>CSO!F133</f>
        <v>57340</v>
      </c>
      <c r="AF113" s="268">
        <f>CSO!G133</f>
        <v>68380</v>
      </c>
      <c r="AG113" s="268">
        <f>CSO!H133</f>
        <v>74573</v>
      </c>
      <c r="AH113" s="268">
        <f>CSO!I133</f>
        <v>79531</v>
      </c>
      <c r="AI113" s="268">
        <f>CSO!J133</f>
        <v>83897</v>
      </c>
      <c r="AJ113" s="268">
        <f>CSO!K133</f>
        <v>88515</v>
      </c>
      <c r="AK113" s="268">
        <f>CSO!L133</f>
        <v>93244</v>
      </c>
      <c r="AL113" s="268">
        <f>CSO!M133</f>
        <v>98465</v>
      </c>
      <c r="AM113" s="268">
        <f>CSO!N133</f>
        <v>103809</v>
      </c>
      <c r="AN113" s="268">
        <f>CSO!O133</f>
        <v>109435</v>
      </c>
      <c r="AO113" s="268">
        <f>CSO!P133</f>
        <v>115349</v>
      </c>
    </row>
    <row r="114" spans="1:42" s="267" customFormat="1" x14ac:dyDescent="0.25">
      <c r="A114" s="285">
        <v>540</v>
      </c>
      <c r="B114" s="279" t="s">
        <v>79</v>
      </c>
      <c r="D114" s="281">
        <f t="shared" si="39"/>
        <v>101400</v>
      </c>
      <c r="E114" s="281">
        <f t="shared" si="28"/>
        <v>37980</v>
      </c>
      <c r="F114" s="281">
        <f t="shared" si="29"/>
        <v>44560</v>
      </c>
      <c r="G114" s="281">
        <f t="shared" si="30"/>
        <v>45140</v>
      </c>
      <c r="H114" s="281">
        <f t="shared" si="31"/>
        <v>45720</v>
      </c>
      <c r="I114" s="281">
        <f t="shared" si="32"/>
        <v>46300</v>
      </c>
      <c r="J114" s="281">
        <f t="shared" si="33"/>
        <v>46880</v>
      </c>
      <c r="K114" s="281">
        <f t="shared" si="34"/>
        <v>47460</v>
      </c>
      <c r="L114" s="281">
        <f t="shared" si="35"/>
        <v>48040</v>
      </c>
      <c r="M114" s="281">
        <f t="shared" si="36"/>
        <v>48620</v>
      </c>
      <c r="N114" s="281">
        <f t="shared" si="37"/>
        <v>49200</v>
      </c>
      <c r="O114" s="281">
        <f t="shared" si="38"/>
        <v>49780</v>
      </c>
      <c r="Q114" s="288">
        <f>'School Rollup'!D114</f>
        <v>72400</v>
      </c>
      <c r="R114" s="288">
        <f>'School Rollup'!E114</f>
        <v>8400</v>
      </c>
      <c r="S114" s="288">
        <f>'School Rollup'!F114</f>
        <v>14400</v>
      </c>
      <c r="T114" s="288">
        <f>'School Rollup'!G114</f>
        <v>14400</v>
      </c>
      <c r="U114" s="288">
        <f>'School Rollup'!H114</f>
        <v>14400</v>
      </c>
      <c r="V114" s="288">
        <f>'School Rollup'!I114</f>
        <v>14400</v>
      </c>
      <c r="W114" s="288">
        <f>'School Rollup'!J114</f>
        <v>14400</v>
      </c>
      <c r="X114" s="288">
        <f>'School Rollup'!K114</f>
        <v>14400</v>
      </c>
      <c r="Y114" s="288">
        <f>'School Rollup'!L114</f>
        <v>14400</v>
      </c>
      <c r="Z114" s="288">
        <f>'School Rollup'!M114</f>
        <v>14400</v>
      </c>
      <c r="AA114" s="288">
        <f>'School Rollup'!N114</f>
        <v>14400</v>
      </c>
      <c r="AB114" s="288">
        <f>'School Rollup'!O114</f>
        <v>14400</v>
      </c>
      <c r="AD114" s="289">
        <f>CSO!E134</f>
        <v>29000</v>
      </c>
      <c r="AE114" s="289">
        <f>CSO!F134</f>
        <v>29580</v>
      </c>
      <c r="AF114" s="289">
        <f>CSO!G134</f>
        <v>30160</v>
      </c>
      <c r="AG114" s="289">
        <f>CSO!H134</f>
        <v>30740</v>
      </c>
      <c r="AH114" s="289">
        <f>CSO!I134</f>
        <v>31320.000000000004</v>
      </c>
      <c r="AI114" s="289">
        <f>CSO!J134</f>
        <v>31900.000000000004</v>
      </c>
      <c r="AJ114" s="289">
        <f>CSO!K134</f>
        <v>32480.000000000004</v>
      </c>
      <c r="AK114" s="289">
        <f>CSO!L134</f>
        <v>33060</v>
      </c>
      <c r="AL114" s="289">
        <f>CSO!M134</f>
        <v>33640</v>
      </c>
      <c r="AM114" s="289">
        <f>CSO!N134</f>
        <v>34220</v>
      </c>
      <c r="AN114" s="289">
        <f>CSO!O134</f>
        <v>34800</v>
      </c>
      <c r="AO114" s="289">
        <f>CSO!P134</f>
        <v>35380</v>
      </c>
    </row>
    <row r="115" spans="1:42" hidden="1" outlineLevel="1" x14ac:dyDescent="0.25">
      <c r="A115" s="100">
        <v>6569</v>
      </c>
      <c r="B115" s="18" t="s">
        <v>560</v>
      </c>
      <c r="D115" s="154">
        <f t="shared" si="39"/>
        <v>35250</v>
      </c>
      <c r="E115" s="154">
        <f t="shared" si="28"/>
        <v>40290</v>
      </c>
      <c r="F115" s="154">
        <f t="shared" si="29"/>
        <v>45760</v>
      </c>
      <c r="G115" s="154">
        <f t="shared" si="30"/>
        <v>49078</v>
      </c>
      <c r="H115" s="154">
        <f t="shared" si="31"/>
        <v>51948</v>
      </c>
      <c r="I115" s="154">
        <f t="shared" si="32"/>
        <v>54670</v>
      </c>
      <c r="J115" s="154">
        <f t="shared" si="33"/>
        <v>57540</v>
      </c>
      <c r="K115" s="154">
        <f t="shared" si="34"/>
        <v>60477</v>
      </c>
      <c r="L115" s="154">
        <f t="shared" si="35"/>
        <v>63713</v>
      </c>
      <c r="M115" s="154">
        <f t="shared" si="36"/>
        <v>67024</v>
      </c>
      <c r="N115" s="154">
        <f t="shared" si="37"/>
        <v>70470</v>
      </c>
      <c r="O115" s="154">
        <f t="shared" si="38"/>
        <v>74115</v>
      </c>
      <c r="Q115" s="59">
        <f>'School Rollup'!D115</f>
        <v>35250</v>
      </c>
      <c r="R115" s="59">
        <f>'School Rollup'!E115</f>
        <v>40290</v>
      </c>
      <c r="S115" s="59">
        <f>'School Rollup'!F115</f>
        <v>45760</v>
      </c>
      <c r="T115" s="59">
        <f>'School Rollup'!G115</f>
        <v>49078</v>
      </c>
      <c r="U115" s="59">
        <f>'School Rollup'!H115</f>
        <v>51948</v>
      </c>
      <c r="V115" s="59">
        <f>'School Rollup'!I115</f>
        <v>54670</v>
      </c>
      <c r="W115" s="59">
        <f>'School Rollup'!J115</f>
        <v>57540</v>
      </c>
      <c r="X115" s="59">
        <f>'School Rollup'!K115</f>
        <v>60477</v>
      </c>
      <c r="Y115" s="59">
        <f>'School Rollup'!L115</f>
        <v>63713</v>
      </c>
      <c r="Z115" s="59">
        <f>'School Rollup'!M115</f>
        <v>67024</v>
      </c>
      <c r="AA115" s="59">
        <f>'School Rollup'!N115</f>
        <v>70470</v>
      </c>
      <c r="AB115" s="59">
        <f>'School Rollup'!O115</f>
        <v>74115</v>
      </c>
      <c r="AD115" s="6">
        <f>CSO!E135</f>
        <v>0</v>
      </c>
      <c r="AE115" s="6">
        <f>CSO!F135</f>
        <v>0</v>
      </c>
      <c r="AF115" s="6">
        <f>CSO!G135</f>
        <v>0</v>
      </c>
      <c r="AG115" s="6">
        <f>CSO!H135</f>
        <v>0</v>
      </c>
      <c r="AH115" s="6">
        <f>CSO!I135</f>
        <v>0</v>
      </c>
      <c r="AI115" s="6">
        <f>CSO!J135</f>
        <v>0</v>
      </c>
      <c r="AJ115" s="6">
        <f>CSO!K135</f>
        <v>0</v>
      </c>
      <c r="AK115" s="6">
        <f>CSO!L135</f>
        <v>0</v>
      </c>
      <c r="AL115" s="6">
        <f>CSO!M135</f>
        <v>0</v>
      </c>
      <c r="AM115" s="6">
        <f>CSO!N135</f>
        <v>0</v>
      </c>
      <c r="AN115" s="6">
        <f>CSO!O135</f>
        <v>0</v>
      </c>
      <c r="AO115" s="6">
        <f>CSO!P135</f>
        <v>0</v>
      </c>
    </row>
    <row r="116" spans="1:42" hidden="1" outlineLevel="1" x14ac:dyDescent="0.25">
      <c r="A116" s="100">
        <v>6569</v>
      </c>
      <c r="B116" s="18" t="s">
        <v>561</v>
      </c>
      <c r="D116" s="154">
        <f t="shared" si="39"/>
        <v>639843.75</v>
      </c>
      <c r="E116" s="154">
        <f t="shared" si="28"/>
        <v>739659.75</v>
      </c>
      <c r="F116" s="154">
        <f t="shared" si="29"/>
        <v>882700</v>
      </c>
      <c r="G116" s="154">
        <f t="shared" si="30"/>
        <v>963208.75</v>
      </c>
      <c r="H116" s="154">
        <f t="shared" si="31"/>
        <v>1027215</v>
      </c>
      <c r="I116" s="154">
        <f t="shared" si="32"/>
        <v>1083054</v>
      </c>
      <c r="J116" s="154">
        <f t="shared" si="33"/>
        <v>1142190</v>
      </c>
      <c r="K116" s="154">
        <f t="shared" si="34"/>
        <v>1202736.5</v>
      </c>
      <c r="L116" s="154">
        <f t="shared" si="35"/>
        <v>1269511.25</v>
      </c>
      <c r="M116" s="154">
        <f t="shared" si="36"/>
        <v>1337862.75</v>
      </c>
      <c r="N116" s="154">
        <f t="shared" si="37"/>
        <v>1409887.5</v>
      </c>
      <c r="O116" s="154">
        <f t="shared" si="38"/>
        <v>1485426.25</v>
      </c>
      <c r="Q116" s="59">
        <f>'School Rollup'!D116</f>
        <v>639843.75</v>
      </c>
      <c r="R116" s="59">
        <f>'School Rollup'!E116</f>
        <v>739659.75</v>
      </c>
      <c r="S116" s="59">
        <f>'School Rollup'!F116</f>
        <v>882700</v>
      </c>
      <c r="T116" s="59">
        <f>'School Rollup'!G116</f>
        <v>963208.75</v>
      </c>
      <c r="U116" s="59">
        <f>'School Rollup'!H116</f>
        <v>1027215</v>
      </c>
      <c r="V116" s="59">
        <f>'School Rollup'!I116</f>
        <v>1083054</v>
      </c>
      <c r="W116" s="59">
        <f>'School Rollup'!J116</f>
        <v>1142190</v>
      </c>
      <c r="X116" s="59">
        <f>'School Rollup'!K116</f>
        <v>1202736.5</v>
      </c>
      <c r="Y116" s="59">
        <f>'School Rollup'!L116</f>
        <v>1269511.25</v>
      </c>
      <c r="Z116" s="59">
        <f>'School Rollup'!M116</f>
        <v>1337862.75</v>
      </c>
      <c r="AA116" s="59">
        <f>'School Rollup'!N116</f>
        <v>1409887.5</v>
      </c>
      <c r="AB116" s="59">
        <f>'School Rollup'!O116</f>
        <v>1485426.25</v>
      </c>
      <c r="AD116" s="6">
        <f>CSO!E136</f>
        <v>0</v>
      </c>
      <c r="AE116" s="6">
        <f>CSO!F136</f>
        <v>0</v>
      </c>
      <c r="AF116" s="6">
        <f>CSO!G136</f>
        <v>0</v>
      </c>
      <c r="AG116" s="6">
        <f>CSO!H136</f>
        <v>0</v>
      </c>
      <c r="AH116" s="6">
        <f>CSO!I136</f>
        <v>0</v>
      </c>
      <c r="AI116" s="6">
        <f>CSO!J136</f>
        <v>0</v>
      </c>
      <c r="AJ116" s="6">
        <f>CSO!K136</f>
        <v>0</v>
      </c>
      <c r="AK116" s="6">
        <f>CSO!L136</f>
        <v>0</v>
      </c>
      <c r="AL116" s="6">
        <f>CSO!M136</f>
        <v>0</v>
      </c>
      <c r="AM116" s="6">
        <f>CSO!N136</f>
        <v>0</v>
      </c>
      <c r="AN116" s="6">
        <f>CSO!O136</f>
        <v>0</v>
      </c>
      <c r="AO116" s="6">
        <f>CSO!P136</f>
        <v>0</v>
      </c>
    </row>
    <row r="117" spans="1:42" hidden="1" outlineLevel="1" x14ac:dyDescent="0.25">
      <c r="A117" s="100">
        <v>6569</v>
      </c>
      <c r="B117" s="18" t="s">
        <v>562</v>
      </c>
      <c r="D117" s="154">
        <f t="shared" si="39"/>
        <v>869793.75</v>
      </c>
      <c r="E117" s="154">
        <f t="shared" si="28"/>
        <v>993257.25</v>
      </c>
      <c r="F117" s="154">
        <f t="shared" si="29"/>
        <v>1185340</v>
      </c>
      <c r="G117" s="154">
        <f t="shared" si="30"/>
        <v>1293451.75</v>
      </c>
      <c r="H117" s="154">
        <f t="shared" si="31"/>
        <v>1379403</v>
      </c>
      <c r="I117" s="154">
        <f t="shared" si="32"/>
        <v>1454386.5</v>
      </c>
      <c r="J117" s="154">
        <f t="shared" si="33"/>
        <v>1533798</v>
      </c>
      <c r="K117" s="154">
        <f t="shared" si="34"/>
        <v>1615103</v>
      </c>
      <c r="L117" s="154">
        <f t="shared" si="35"/>
        <v>1704772.25</v>
      </c>
      <c r="M117" s="154">
        <f t="shared" si="36"/>
        <v>1796558.25</v>
      </c>
      <c r="N117" s="154">
        <f t="shared" si="37"/>
        <v>1893277.5</v>
      </c>
      <c r="O117" s="154">
        <f t="shared" si="38"/>
        <v>1994715.25</v>
      </c>
      <c r="Q117" s="59">
        <f>'School Rollup'!D117</f>
        <v>869793.75</v>
      </c>
      <c r="R117" s="59">
        <f>'School Rollup'!E117</f>
        <v>993257.25</v>
      </c>
      <c r="S117" s="59">
        <f>'School Rollup'!F117</f>
        <v>1185340</v>
      </c>
      <c r="T117" s="59">
        <f>'School Rollup'!G117</f>
        <v>1293451.75</v>
      </c>
      <c r="U117" s="59">
        <f>'School Rollup'!H117</f>
        <v>1379403</v>
      </c>
      <c r="V117" s="59">
        <f>'School Rollup'!I117</f>
        <v>1454386.5</v>
      </c>
      <c r="W117" s="59">
        <f>'School Rollup'!J117</f>
        <v>1533798</v>
      </c>
      <c r="X117" s="59">
        <f>'School Rollup'!K117</f>
        <v>1615103</v>
      </c>
      <c r="Y117" s="59">
        <f>'School Rollup'!L117</f>
        <v>1704772.25</v>
      </c>
      <c r="Z117" s="59">
        <f>'School Rollup'!M117</f>
        <v>1796558.25</v>
      </c>
      <c r="AA117" s="59">
        <f>'School Rollup'!N117</f>
        <v>1893277.5</v>
      </c>
      <c r="AB117" s="59">
        <f>'School Rollup'!O117</f>
        <v>1994715.25</v>
      </c>
      <c r="AD117" s="6">
        <f>CSO!E137</f>
        <v>0</v>
      </c>
      <c r="AE117" s="6">
        <f>CSO!F137</f>
        <v>0</v>
      </c>
      <c r="AF117" s="6">
        <f>CSO!G137</f>
        <v>0</v>
      </c>
      <c r="AG117" s="6">
        <f>CSO!H137</f>
        <v>0</v>
      </c>
      <c r="AH117" s="6">
        <f>CSO!I137</f>
        <v>0</v>
      </c>
      <c r="AI117" s="6">
        <f>CSO!J137</f>
        <v>0</v>
      </c>
      <c r="AJ117" s="6">
        <f>CSO!K137</f>
        <v>0</v>
      </c>
      <c r="AK117" s="6">
        <f>CSO!L137</f>
        <v>0</v>
      </c>
      <c r="AL117" s="6">
        <f>CSO!M137</f>
        <v>0</v>
      </c>
      <c r="AM117" s="6">
        <f>CSO!N137</f>
        <v>0</v>
      </c>
      <c r="AN117" s="6">
        <f>CSO!O137</f>
        <v>0</v>
      </c>
      <c r="AO117" s="6">
        <f>CSO!P137</f>
        <v>0</v>
      </c>
    </row>
    <row r="118" spans="1:42" s="267" customFormat="1" collapsed="1" x14ac:dyDescent="0.25">
      <c r="A118" s="286">
        <v>560</v>
      </c>
      <c r="B118" s="275" t="s">
        <v>446</v>
      </c>
      <c r="D118" s="265">
        <f t="shared" si="39"/>
        <v>1544887.5</v>
      </c>
      <c r="E118" s="265">
        <f t="shared" si="28"/>
        <v>1773207</v>
      </c>
      <c r="F118" s="265">
        <f t="shared" si="29"/>
        <v>2113800</v>
      </c>
      <c r="G118" s="265">
        <f t="shared" si="30"/>
        <v>2305738.5</v>
      </c>
      <c r="H118" s="265">
        <f t="shared" si="31"/>
        <v>2458566</v>
      </c>
      <c r="I118" s="265">
        <f t="shared" si="32"/>
        <v>2592110.5</v>
      </c>
      <c r="J118" s="265">
        <f t="shared" si="33"/>
        <v>2733528</v>
      </c>
      <c r="K118" s="265">
        <f t="shared" si="34"/>
        <v>2878316.5</v>
      </c>
      <c r="L118" s="265">
        <f t="shared" si="35"/>
        <v>3037996.5</v>
      </c>
      <c r="M118" s="265">
        <f t="shared" si="36"/>
        <v>3201445</v>
      </c>
      <c r="N118" s="265">
        <f t="shared" si="37"/>
        <v>3373635</v>
      </c>
      <c r="O118" s="265">
        <f t="shared" si="38"/>
        <v>3554256.5</v>
      </c>
      <c r="Q118" s="266">
        <f>'School Rollup'!D118</f>
        <v>1544887.5</v>
      </c>
      <c r="R118" s="266">
        <f>'School Rollup'!E118</f>
        <v>1773207</v>
      </c>
      <c r="S118" s="266">
        <f>'School Rollup'!F118</f>
        <v>2113800</v>
      </c>
      <c r="T118" s="266">
        <f>'School Rollup'!G118</f>
        <v>2305738.5</v>
      </c>
      <c r="U118" s="266">
        <f>'School Rollup'!H118</f>
        <v>2458566</v>
      </c>
      <c r="V118" s="266">
        <f>'School Rollup'!I118</f>
        <v>2592110.5</v>
      </c>
      <c r="W118" s="266">
        <f>'School Rollup'!J118</f>
        <v>2733528</v>
      </c>
      <c r="X118" s="266">
        <f>'School Rollup'!K118</f>
        <v>2878316.5</v>
      </c>
      <c r="Y118" s="266">
        <f>'School Rollup'!L118</f>
        <v>3037996.5</v>
      </c>
      <c r="Z118" s="266">
        <f>'School Rollup'!M118</f>
        <v>3201445</v>
      </c>
      <c r="AA118" s="266">
        <f>'School Rollup'!N118</f>
        <v>3373635</v>
      </c>
      <c r="AB118" s="266">
        <f>'School Rollup'!O118</f>
        <v>3554256.5</v>
      </c>
      <c r="AD118" s="268">
        <f>CSO!E138</f>
        <v>0</v>
      </c>
      <c r="AE118" s="268">
        <f>CSO!F138</f>
        <v>0</v>
      </c>
      <c r="AF118" s="268">
        <f>CSO!G138</f>
        <v>0</v>
      </c>
      <c r="AG118" s="268">
        <f>CSO!H138</f>
        <v>0</v>
      </c>
      <c r="AH118" s="268">
        <f>CSO!I138</f>
        <v>0</v>
      </c>
      <c r="AI118" s="268">
        <f>CSO!J138</f>
        <v>0</v>
      </c>
      <c r="AJ118" s="268">
        <f>CSO!K138</f>
        <v>0</v>
      </c>
      <c r="AK118" s="268">
        <f>CSO!L138</f>
        <v>0</v>
      </c>
      <c r="AL118" s="268">
        <f>CSO!M138</f>
        <v>0</v>
      </c>
      <c r="AM118" s="268">
        <f>CSO!N138</f>
        <v>0</v>
      </c>
      <c r="AN118" s="268">
        <f>CSO!O138</f>
        <v>0</v>
      </c>
      <c r="AO118" s="268">
        <f>CSO!P138</f>
        <v>0</v>
      </c>
    </row>
    <row r="119" spans="1:42" s="271" customFormat="1" x14ac:dyDescent="0.25">
      <c r="A119" s="285">
        <v>580</v>
      </c>
      <c r="B119" s="279" t="s">
        <v>289</v>
      </c>
      <c r="D119" s="281">
        <f t="shared" si="39"/>
        <v>22500</v>
      </c>
      <c r="E119" s="281">
        <f t="shared" si="28"/>
        <v>25500</v>
      </c>
      <c r="F119" s="281">
        <f t="shared" si="29"/>
        <v>27820</v>
      </c>
      <c r="G119" s="281">
        <f t="shared" si="30"/>
        <v>29945</v>
      </c>
      <c r="H119" s="281">
        <f t="shared" si="31"/>
        <v>30510</v>
      </c>
      <c r="I119" s="281">
        <f t="shared" si="32"/>
        <v>31075</v>
      </c>
      <c r="J119" s="281">
        <f t="shared" si="33"/>
        <v>31640</v>
      </c>
      <c r="K119" s="281">
        <f t="shared" si="34"/>
        <v>33060</v>
      </c>
      <c r="L119" s="281">
        <f t="shared" si="35"/>
        <v>34220</v>
      </c>
      <c r="M119" s="281">
        <f t="shared" si="36"/>
        <v>35105</v>
      </c>
      <c r="N119" s="281">
        <f t="shared" si="37"/>
        <v>35700</v>
      </c>
      <c r="O119" s="281">
        <f t="shared" si="38"/>
        <v>36295</v>
      </c>
      <c r="Q119" s="288">
        <f>'School Rollup'!D119</f>
        <v>6500</v>
      </c>
      <c r="R119" s="288">
        <f>'School Rollup'!E119</f>
        <v>9180</v>
      </c>
      <c r="S119" s="288">
        <f>'School Rollup'!F119</f>
        <v>11180</v>
      </c>
      <c r="T119" s="288">
        <f>'School Rollup'!G119</f>
        <v>12985</v>
      </c>
      <c r="U119" s="288">
        <f>'School Rollup'!H119</f>
        <v>13230</v>
      </c>
      <c r="V119" s="288">
        <f>'School Rollup'!I119</f>
        <v>13475</v>
      </c>
      <c r="W119" s="288">
        <f>'School Rollup'!J119</f>
        <v>13720</v>
      </c>
      <c r="X119" s="288">
        <f>'School Rollup'!K119</f>
        <v>14820</v>
      </c>
      <c r="Y119" s="288">
        <f>'School Rollup'!L119</f>
        <v>15660</v>
      </c>
      <c r="Z119" s="288">
        <f>'School Rollup'!M119</f>
        <v>16225</v>
      </c>
      <c r="AA119" s="288">
        <f>'School Rollup'!N119</f>
        <v>16500</v>
      </c>
      <c r="AB119" s="288">
        <f>'School Rollup'!O119</f>
        <v>16775</v>
      </c>
      <c r="AC119" s="267"/>
      <c r="AD119" s="289">
        <f>CSO!E139</f>
        <v>16000</v>
      </c>
      <c r="AE119" s="289">
        <f>CSO!F139</f>
        <v>16320</v>
      </c>
      <c r="AF119" s="289">
        <f>CSO!G139</f>
        <v>16640</v>
      </c>
      <c r="AG119" s="289">
        <f>CSO!H139</f>
        <v>16960</v>
      </c>
      <c r="AH119" s="289">
        <f>CSO!I139</f>
        <v>17280</v>
      </c>
      <c r="AI119" s="289">
        <f>CSO!J139</f>
        <v>17600</v>
      </c>
      <c r="AJ119" s="289">
        <f>CSO!K139</f>
        <v>17920</v>
      </c>
      <c r="AK119" s="289">
        <f>CSO!L139</f>
        <v>18240</v>
      </c>
      <c r="AL119" s="289">
        <f>CSO!M139</f>
        <v>18560</v>
      </c>
      <c r="AM119" s="289">
        <f>CSO!N139</f>
        <v>18880</v>
      </c>
      <c r="AN119" s="289">
        <f>CSO!O139</f>
        <v>19200</v>
      </c>
      <c r="AO119" s="289">
        <f>CSO!P139</f>
        <v>19520</v>
      </c>
      <c r="AP119" s="267"/>
    </row>
    <row r="120" spans="1:42" s="271" customFormat="1" x14ac:dyDescent="0.25">
      <c r="A120" s="285">
        <v>610</v>
      </c>
      <c r="B120" s="279" t="s">
        <v>465</v>
      </c>
      <c r="D120" s="281">
        <f t="shared" si="39"/>
        <v>79420</v>
      </c>
      <c r="E120" s="281">
        <f t="shared" si="28"/>
        <v>27785</v>
      </c>
      <c r="F120" s="281">
        <f t="shared" si="29"/>
        <v>29734</v>
      </c>
      <c r="G120" s="281">
        <f t="shared" si="30"/>
        <v>31259</v>
      </c>
      <c r="H120" s="281">
        <f t="shared" si="31"/>
        <v>31849</v>
      </c>
      <c r="I120" s="281">
        <f t="shared" si="32"/>
        <v>32439</v>
      </c>
      <c r="J120" s="281">
        <f t="shared" si="33"/>
        <v>33029</v>
      </c>
      <c r="K120" s="281">
        <f t="shared" si="34"/>
        <v>34132</v>
      </c>
      <c r="L120" s="281">
        <f t="shared" si="35"/>
        <v>35844</v>
      </c>
      <c r="M120" s="281">
        <f t="shared" si="36"/>
        <v>36993</v>
      </c>
      <c r="N120" s="281">
        <f t="shared" si="37"/>
        <v>37620</v>
      </c>
      <c r="O120" s="281">
        <f t="shared" si="38"/>
        <v>38247</v>
      </c>
      <c r="Q120" s="288">
        <f>'School Rollup'!D120</f>
        <v>65020</v>
      </c>
      <c r="R120" s="288">
        <f>'School Rollup'!E120</f>
        <v>13097</v>
      </c>
      <c r="S120" s="288">
        <f>'School Rollup'!F120</f>
        <v>14758</v>
      </c>
      <c r="T120" s="288">
        <f>'School Rollup'!G120</f>
        <v>15995</v>
      </c>
      <c r="U120" s="288">
        <f>'School Rollup'!H120</f>
        <v>16297</v>
      </c>
      <c r="V120" s="288">
        <f>'School Rollup'!I120</f>
        <v>16599</v>
      </c>
      <c r="W120" s="288">
        <f>'School Rollup'!J120</f>
        <v>16901</v>
      </c>
      <c r="X120" s="288">
        <f>'School Rollup'!K120</f>
        <v>17716</v>
      </c>
      <c r="Y120" s="288">
        <f>'School Rollup'!L120</f>
        <v>19140</v>
      </c>
      <c r="Z120" s="288">
        <f>'School Rollup'!M120</f>
        <v>20001</v>
      </c>
      <c r="AA120" s="288">
        <f>'School Rollup'!N120</f>
        <v>20340</v>
      </c>
      <c r="AB120" s="288">
        <f>'School Rollup'!O120</f>
        <v>20679</v>
      </c>
      <c r="AC120" s="267"/>
      <c r="AD120" s="289">
        <f>CSO!E140</f>
        <v>14400</v>
      </c>
      <c r="AE120" s="289">
        <f>CSO!F140</f>
        <v>14688</v>
      </c>
      <c r="AF120" s="289">
        <f>CSO!G140</f>
        <v>14976</v>
      </c>
      <c r="AG120" s="289">
        <f>CSO!H140</f>
        <v>15264</v>
      </c>
      <c r="AH120" s="289">
        <f>CSO!I140</f>
        <v>15552</v>
      </c>
      <c r="AI120" s="289">
        <f>CSO!J140</f>
        <v>15840</v>
      </c>
      <c r="AJ120" s="289">
        <f>CSO!K140</f>
        <v>16128</v>
      </c>
      <c r="AK120" s="289">
        <f>CSO!L140</f>
        <v>16416</v>
      </c>
      <c r="AL120" s="289">
        <f>CSO!M140</f>
        <v>16704</v>
      </c>
      <c r="AM120" s="289">
        <f>CSO!N140</f>
        <v>16992</v>
      </c>
      <c r="AN120" s="289">
        <f>CSO!O140</f>
        <v>17280</v>
      </c>
      <c r="AO120" s="289">
        <f>CSO!P140</f>
        <v>17568</v>
      </c>
      <c r="AP120" s="267"/>
    </row>
    <row r="121" spans="1:42" s="267" customFormat="1" x14ac:dyDescent="0.25">
      <c r="A121" s="285">
        <v>622</v>
      </c>
      <c r="B121" s="279" t="s">
        <v>466</v>
      </c>
      <c r="D121" s="281">
        <f t="shared" si="39"/>
        <v>21000</v>
      </c>
      <c r="E121" s="281">
        <f t="shared" si="28"/>
        <v>21420</v>
      </c>
      <c r="F121" s="281">
        <f t="shared" si="29"/>
        <v>23712</v>
      </c>
      <c r="G121" s="281">
        <f t="shared" si="30"/>
        <v>24168</v>
      </c>
      <c r="H121" s="281">
        <f t="shared" si="31"/>
        <v>24624</v>
      </c>
      <c r="I121" s="281">
        <f t="shared" si="32"/>
        <v>25080</v>
      </c>
      <c r="J121" s="281">
        <f t="shared" si="33"/>
        <v>25536</v>
      </c>
      <c r="K121" s="281">
        <f t="shared" si="34"/>
        <v>25992</v>
      </c>
      <c r="L121" s="281">
        <f t="shared" si="35"/>
        <v>26448</v>
      </c>
      <c r="M121" s="281">
        <f t="shared" si="36"/>
        <v>26904</v>
      </c>
      <c r="N121" s="281">
        <f t="shared" si="37"/>
        <v>27360</v>
      </c>
      <c r="O121" s="281">
        <f t="shared" si="38"/>
        <v>27816</v>
      </c>
      <c r="Q121" s="288">
        <f>'School Rollup'!D121</f>
        <v>21000</v>
      </c>
      <c r="R121" s="288">
        <f>'School Rollup'!E121</f>
        <v>21420</v>
      </c>
      <c r="S121" s="288">
        <f>'School Rollup'!F121</f>
        <v>23712</v>
      </c>
      <c r="T121" s="288">
        <f>'School Rollup'!G121</f>
        <v>24168</v>
      </c>
      <c r="U121" s="288">
        <f>'School Rollup'!H121</f>
        <v>24624</v>
      </c>
      <c r="V121" s="288">
        <f>'School Rollup'!I121</f>
        <v>25080</v>
      </c>
      <c r="W121" s="288">
        <f>'School Rollup'!J121</f>
        <v>25536</v>
      </c>
      <c r="X121" s="288">
        <f>'School Rollup'!K121</f>
        <v>25992</v>
      </c>
      <c r="Y121" s="288">
        <f>'School Rollup'!L121</f>
        <v>26448</v>
      </c>
      <c r="Z121" s="288">
        <f>'School Rollup'!M121</f>
        <v>26904</v>
      </c>
      <c r="AA121" s="288">
        <f>'School Rollup'!N121</f>
        <v>27360</v>
      </c>
      <c r="AB121" s="288">
        <f>'School Rollup'!O121</f>
        <v>27816</v>
      </c>
      <c r="AD121" s="289">
        <f>CSO!E141</f>
        <v>0</v>
      </c>
      <c r="AE121" s="289">
        <f>CSO!F141</f>
        <v>0</v>
      </c>
      <c r="AF121" s="289">
        <f>CSO!G141</f>
        <v>0</v>
      </c>
      <c r="AG121" s="289">
        <f>CSO!H141</f>
        <v>0</v>
      </c>
      <c r="AH121" s="289">
        <f>CSO!I141</f>
        <v>0</v>
      </c>
      <c r="AI121" s="289">
        <f>CSO!J141</f>
        <v>0</v>
      </c>
      <c r="AJ121" s="289">
        <f>CSO!K141</f>
        <v>0</v>
      </c>
      <c r="AK121" s="289">
        <f>CSO!L141</f>
        <v>0</v>
      </c>
      <c r="AL121" s="289">
        <f>CSO!M141</f>
        <v>0</v>
      </c>
      <c r="AM121" s="289">
        <f>CSO!N141</f>
        <v>0</v>
      </c>
      <c r="AN121" s="289">
        <f>CSO!O141</f>
        <v>0</v>
      </c>
      <c r="AO121" s="289">
        <f>CSO!P141</f>
        <v>0</v>
      </c>
    </row>
    <row r="122" spans="1:42" hidden="1" outlineLevel="1" x14ac:dyDescent="0.25">
      <c r="A122" s="100">
        <v>6641</v>
      </c>
      <c r="B122" s="18" t="s">
        <v>53</v>
      </c>
      <c r="D122" s="154">
        <f t="shared" si="39"/>
        <v>37500</v>
      </c>
      <c r="E122" s="154">
        <f t="shared" si="28"/>
        <v>43605</v>
      </c>
      <c r="F122" s="154">
        <f t="shared" si="29"/>
        <v>52000</v>
      </c>
      <c r="G122" s="154">
        <f t="shared" si="30"/>
        <v>56710</v>
      </c>
      <c r="H122" s="154">
        <f t="shared" si="31"/>
        <v>60480</v>
      </c>
      <c r="I122" s="154">
        <f t="shared" si="32"/>
        <v>63800</v>
      </c>
      <c r="J122" s="154">
        <f t="shared" si="33"/>
        <v>67312</v>
      </c>
      <c r="K122" s="154">
        <f t="shared" si="34"/>
        <v>70908</v>
      </c>
      <c r="L122" s="154">
        <f t="shared" si="35"/>
        <v>74878</v>
      </c>
      <c r="M122" s="154">
        <f t="shared" si="36"/>
        <v>78942</v>
      </c>
      <c r="N122" s="154">
        <f t="shared" si="37"/>
        <v>83220</v>
      </c>
      <c r="O122" s="154">
        <f t="shared" si="38"/>
        <v>87718</v>
      </c>
      <c r="Q122" s="59">
        <f>'School Rollup'!D122</f>
        <v>37500</v>
      </c>
      <c r="R122" s="59">
        <f>'School Rollup'!E122</f>
        <v>43605</v>
      </c>
      <c r="S122" s="59">
        <f>'School Rollup'!F122</f>
        <v>52000</v>
      </c>
      <c r="T122" s="59">
        <f>'School Rollup'!G122</f>
        <v>56710</v>
      </c>
      <c r="U122" s="59">
        <f>'School Rollup'!H122</f>
        <v>60480</v>
      </c>
      <c r="V122" s="59">
        <f>'School Rollup'!I122</f>
        <v>63800</v>
      </c>
      <c r="W122" s="59">
        <f>'School Rollup'!J122</f>
        <v>67312</v>
      </c>
      <c r="X122" s="59">
        <f>'School Rollup'!K122</f>
        <v>70908</v>
      </c>
      <c r="Y122" s="59">
        <f>'School Rollup'!L122</f>
        <v>74878</v>
      </c>
      <c r="Z122" s="59">
        <f>'School Rollup'!M122</f>
        <v>78942</v>
      </c>
      <c r="AA122" s="59">
        <f>'School Rollup'!N122</f>
        <v>83220</v>
      </c>
      <c r="AB122" s="59">
        <f>'School Rollup'!O122</f>
        <v>87718</v>
      </c>
      <c r="AD122" s="6">
        <f>CSO!E142</f>
        <v>0</v>
      </c>
      <c r="AE122" s="6">
        <f>CSO!F142</f>
        <v>0</v>
      </c>
      <c r="AF122" s="6">
        <f>CSO!G142</f>
        <v>0</v>
      </c>
      <c r="AG122" s="6">
        <f>CSO!H142</f>
        <v>0</v>
      </c>
      <c r="AH122" s="6">
        <f>CSO!I142</f>
        <v>0</v>
      </c>
      <c r="AI122" s="6">
        <f>CSO!J142</f>
        <v>0</v>
      </c>
      <c r="AJ122" s="6">
        <f>CSO!K142</f>
        <v>0</v>
      </c>
      <c r="AK122" s="6">
        <f>CSO!L142</f>
        <v>0</v>
      </c>
      <c r="AL122" s="6">
        <f>CSO!M142</f>
        <v>0</v>
      </c>
      <c r="AM122" s="6">
        <f>CSO!N142</f>
        <v>0</v>
      </c>
      <c r="AN122" s="6">
        <f>CSO!O142</f>
        <v>0</v>
      </c>
      <c r="AO122" s="6">
        <f>CSO!P142</f>
        <v>0</v>
      </c>
    </row>
    <row r="123" spans="1:42" hidden="1" outlineLevel="1" x14ac:dyDescent="0.25">
      <c r="A123" s="100">
        <v>6641</v>
      </c>
      <c r="B123" s="18" t="s">
        <v>563</v>
      </c>
      <c r="D123" s="154">
        <f t="shared" si="39"/>
        <v>22500</v>
      </c>
      <c r="E123" s="154">
        <f t="shared" si="28"/>
        <v>26163</v>
      </c>
      <c r="F123" s="154">
        <f t="shared" si="29"/>
        <v>31200</v>
      </c>
      <c r="G123" s="154">
        <f t="shared" si="30"/>
        <v>34026</v>
      </c>
      <c r="H123" s="154">
        <f t="shared" si="31"/>
        <v>36288</v>
      </c>
      <c r="I123" s="154">
        <f t="shared" si="32"/>
        <v>38280</v>
      </c>
      <c r="J123" s="154">
        <f t="shared" si="33"/>
        <v>40388</v>
      </c>
      <c r="K123" s="154">
        <f t="shared" si="34"/>
        <v>42546</v>
      </c>
      <c r="L123" s="154">
        <f t="shared" si="35"/>
        <v>44927</v>
      </c>
      <c r="M123" s="154">
        <f t="shared" si="36"/>
        <v>47366</v>
      </c>
      <c r="N123" s="154">
        <f t="shared" si="37"/>
        <v>49932</v>
      </c>
      <c r="O123" s="154">
        <f t="shared" si="38"/>
        <v>52631</v>
      </c>
      <c r="Q123" s="59">
        <f>'School Rollup'!D123</f>
        <v>22500</v>
      </c>
      <c r="R123" s="59">
        <f>'School Rollup'!E123</f>
        <v>26163</v>
      </c>
      <c r="S123" s="59">
        <f>'School Rollup'!F123</f>
        <v>31200</v>
      </c>
      <c r="T123" s="59">
        <f>'School Rollup'!G123</f>
        <v>34026</v>
      </c>
      <c r="U123" s="59">
        <f>'School Rollup'!H123</f>
        <v>36288</v>
      </c>
      <c r="V123" s="59">
        <f>'School Rollup'!I123</f>
        <v>38280</v>
      </c>
      <c r="W123" s="59">
        <f>'School Rollup'!J123</f>
        <v>40388</v>
      </c>
      <c r="X123" s="59">
        <f>'School Rollup'!K123</f>
        <v>42546</v>
      </c>
      <c r="Y123" s="59">
        <f>'School Rollup'!L123</f>
        <v>44927</v>
      </c>
      <c r="Z123" s="59">
        <f>'School Rollup'!M123</f>
        <v>47366</v>
      </c>
      <c r="AA123" s="59">
        <f>'School Rollup'!N123</f>
        <v>49932</v>
      </c>
      <c r="AB123" s="59">
        <f>'School Rollup'!O123</f>
        <v>52631</v>
      </c>
      <c r="AD123" s="6">
        <f>CSO!E143</f>
        <v>0</v>
      </c>
      <c r="AE123" s="6">
        <f>CSO!F143</f>
        <v>0</v>
      </c>
      <c r="AF123" s="6">
        <f>CSO!G143</f>
        <v>0</v>
      </c>
      <c r="AG123" s="6">
        <f>CSO!H143</f>
        <v>0</v>
      </c>
      <c r="AH123" s="6">
        <f>CSO!I143</f>
        <v>0</v>
      </c>
      <c r="AI123" s="6">
        <f>CSO!J143</f>
        <v>0</v>
      </c>
      <c r="AJ123" s="6">
        <f>CSO!K143</f>
        <v>0</v>
      </c>
      <c r="AK123" s="6">
        <f>CSO!L143</f>
        <v>0</v>
      </c>
      <c r="AL123" s="6">
        <f>CSO!M143</f>
        <v>0</v>
      </c>
      <c r="AM123" s="6">
        <f>CSO!N143</f>
        <v>0</v>
      </c>
      <c r="AN123" s="6">
        <f>CSO!O143</f>
        <v>0</v>
      </c>
      <c r="AO123" s="6">
        <f>CSO!P143</f>
        <v>0</v>
      </c>
    </row>
    <row r="124" spans="1:42" hidden="1" outlineLevel="1" x14ac:dyDescent="0.25">
      <c r="A124" s="100">
        <v>6641</v>
      </c>
      <c r="B124" s="18" t="s">
        <v>564</v>
      </c>
      <c r="D124" s="154">
        <f t="shared" si="39"/>
        <v>30000</v>
      </c>
      <c r="E124" s="154">
        <f t="shared" si="28"/>
        <v>34884</v>
      </c>
      <c r="F124" s="154">
        <f t="shared" si="29"/>
        <v>41600</v>
      </c>
      <c r="G124" s="154">
        <f t="shared" si="30"/>
        <v>45367</v>
      </c>
      <c r="H124" s="154">
        <f t="shared" si="31"/>
        <v>48383</v>
      </c>
      <c r="I124" s="154">
        <f t="shared" si="32"/>
        <v>51040</v>
      </c>
      <c r="J124" s="154">
        <f t="shared" si="33"/>
        <v>53850</v>
      </c>
      <c r="K124" s="154">
        <f t="shared" si="34"/>
        <v>56726</v>
      </c>
      <c r="L124" s="154">
        <f t="shared" si="35"/>
        <v>59901</v>
      </c>
      <c r="M124" s="154">
        <f t="shared" si="36"/>
        <v>63154</v>
      </c>
      <c r="N124" s="154">
        <f t="shared" si="37"/>
        <v>66576</v>
      </c>
      <c r="O124" s="154">
        <f t="shared" si="38"/>
        <v>70175</v>
      </c>
      <c r="Q124" s="59">
        <f>'School Rollup'!D124</f>
        <v>30000</v>
      </c>
      <c r="R124" s="59">
        <f>'School Rollup'!E124</f>
        <v>34884</v>
      </c>
      <c r="S124" s="59">
        <f>'School Rollup'!F124</f>
        <v>41600</v>
      </c>
      <c r="T124" s="59">
        <f>'School Rollup'!G124</f>
        <v>45367</v>
      </c>
      <c r="U124" s="59">
        <f>'School Rollup'!H124</f>
        <v>48383</v>
      </c>
      <c r="V124" s="59">
        <f>'School Rollup'!I124</f>
        <v>51040</v>
      </c>
      <c r="W124" s="59">
        <f>'School Rollup'!J124</f>
        <v>53850</v>
      </c>
      <c r="X124" s="59">
        <f>'School Rollup'!K124</f>
        <v>56726</v>
      </c>
      <c r="Y124" s="59">
        <f>'School Rollup'!L124</f>
        <v>59901</v>
      </c>
      <c r="Z124" s="59">
        <f>'School Rollup'!M124</f>
        <v>63154</v>
      </c>
      <c r="AA124" s="59">
        <f>'School Rollup'!N124</f>
        <v>66576</v>
      </c>
      <c r="AB124" s="59">
        <f>'School Rollup'!O124</f>
        <v>70175</v>
      </c>
      <c r="AD124" s="6">
        <f>CSO!E144</f>
        <v>0</v>
      </c>
      <c r="AE124" s="6">
        <f>CSO!F144</f>
        <v>0</v>
      </c>
      <c r="AF124" s="6">
        <f>CSO!G144</f>
        <v>0</v>
      </c>
      <c r="AG124" s="6">
        <f>CSO!H144</f>
        <v>0</v>
      </c>
      <c r="AH124" s="6">
        <f>CSO!I144</f>
        <v>0</v>
      </c>
      <c r="AI124" s="6">
        <f>CSO!J144</f>
        <v>0</v>
      </c>
      <c r="AJ124" s="6">
        <f>CSO!K144</f>
        <v>0</v>
      </c>
      <c r="AK124" s="6">
        <f>CSO!L144</f>
        <v>0</v>
      </c>
      <c r="AL124" s="6">
        <f>CSO!M144</f>
        <v>0</v>
      </c>
      <c r="AM124" s="6">
        <f>CSO!N144</f>
        <v>0</v>
      </c>
      <c r="AN124" s="6">
        <f>CSO!O144</f>
        <v>0</v>
      </c>
      <c r="AO124" s="6">
        <f>CSO!P144</f>
        <v>0</v>
      </c>
    </row>
    <row r="125" spans="1:42" s="267" customFormat="1" collapsed="1" x14ac:dyDescent="0.25">
      <c r="A125" s="286">
        <v>641</v>
      </c>
      <c r="B125" s="275" t="s">
        <v>467</v>
      </c>
      <c r="D125" s="265">
        <f t="shared" si="39"/>
        <v>90000</v>
      </c>
      <c r="E125" s="265">
        <f t="shared" si="28"/>
        <v>104652</v>
      </c>
      <c r="F125" s="265">
        <f t="shared" si="29"/>
        <v>124800</v>
      </c>
      <c r="G125" s="265">
        <f t="shared" si="30"/>
        <v>136103</v>
      </c>
      <c r="H125" s="265">
        <f t="shared" si="31"/>
        <v>145151</v>
      </c>
      <c r="I125" s="265">
        <f t="shared" si="32"/>
        <v>153120</v>
      </c>
      <c r="J125" s="265">
        <f t="shared" si="33"/>
        <v>161550</v>
      </c>
      <c r="K125" s="265">
        <f t="shared" si="34"/>
        <v>170180</v>
      </c>
      <c r="L125" s="265">
        <f t="shared" si="35"/>
        <v>179706</v>
      </c>
      <c r="M125" s="265">
        <f t="shared" si="36"/>
        <v>189462</v>
      </c>
      <c r="N125" s="265">
        <f t="shared" si="37"/>
        <v>199728</v>
      </c>
      <c r="O125" s="265">
        <f t="shared" si="38"/>
        <v>210524</v>
      </c>
      <c r="Q125" s="266">
        <f>'School Rollup'!D125</f>
        <v>90000</v>
      </c>
      <c r="R125" s="266">
        <f>'School Rollup'!E125</f>
        <v>104652</v>
      </c>
      <c r="S125" s="266">
        <f>'School Rollup'!F125</f>
        <v>124800</v>
      </c>
      <c r="T125" s="266">
        <f>'School Rollup'!G125</f>
        <v>136103</v>
      </c>
      <c r="U125" s="266">
        <f>'School Rollup'!H125</f>
        <v>145151</v>
      </c>
      <c r="V125" s="266">
        <f>'School Rollup'!I125</f>
        <v>153120</v>
      </c>
      <c r="W125" s="266">
        <f>'School Rollup'!J125</f>
        <v>161550</v>
      </c>
      <c r="X125" s="266">
        <f>'School Rollup'!K125</f>
        <v>170180</v>
      </c>
      <c r="Y125" s="266">
        <f>'School Rollup'!L125</f>
        <v>179706</v>
      </c>
      <c r="Z125" s="266">
        <f>'School Rollup'!M125</f>
        <v>189462</v>
      </c>
      <c r="AA125" s="266">
        <f>'School Rollup'!N125</f>
        <v>199728</v>
      </c>
      <c r="AB125" s="266">
        <f>'School Rollup'!O125</f>
        <v>210524</v>
      </c>
      <c r="AD125" s="268">
        <f>CSO!E145</f>
        <v>0</v>
      </c>
      <c r="AE125" s="268">
        <f>CSO!F145</f>
        <v>0</v>
      </c>
      <c r="AF125" s="268">
        <f>CSO!G145</f>
        <v>0</v>
      </c>
      <c r="AG125" s="268">
        <f>CSO!H145</f>
        <v>0</v>
      </c>
      <c r="AH125" s="268">
        <f>CSO!I145</f>
        <v>0</v>
      </c>
      <c r="AI125" s="268">
        <f>CSO!J145</f>
        <v>0</v>
      </c>
      <c r="AJ125" s="268">
        <f>CSO!K145</f>
        <v>0</v>
      </c>
      <c r="AK125" s="268">
        <f>CSO!L145</f>
        <v>0</v>
      </c>
      <c r="AL125" s="268">
        <f>CSO!M145</f>
        <v>0</v>
      </c>
      <c r="AM125" s="268">
        <f>CSO!N145</f>
        <v>0</v>
      </c>
      <c r="AN125" s="268">
        <f>CSO!O145</f>
        <v>0</v>
      </c>
      <c r="AO125" s="268">
        <f>CSO!P145</f>
        <v>0</v>
      </c>
    </row>
    <row r="126" spans="1:42" hidden="1" outlineLevel="1" x14ac:dyDescent="0.25">
      <c r="A126" s="100">
        <v>6642</v>
      </c>
      <c r="B126" s="18" t="s">
        <v>567</v>
      </c>
      <c r="D126" s="154">
        <f t="shared" si="39"/>
        <v>75000</v>
      </c>
      <c r="E126" s="154">
        <f t="shared" si="28"/>
        <v>87210</v>
      </c>
      <c r="F126" s="154">
        <f t="shared" si="29"/>
        <v>104000</v>
      </c>
      <c r="G126" s="154">
        <f t="shared" si="30"/>
        <v>113420</v>
      </c>
      <c r="H126" s="154">
        <f t="shared" si="31"/>
        <v>120960</v>
      </c>
      <c r="I126" s="154">
        <f t="shared" si="32"/>
        <v>127600</v>
      </c>
      <c r="J126" s="154">
        <f t="shared" si="33"/>
        <v>134624</v>
      </c>
      <c r="K126" s="154">
        <f t="shared" si="34"/>
        <v>141816</v>
      </c>
      <c r="L126" s="154">
        <f t="shared" si="35"/>
        <v>149756</v>
      </c>
      <c r="M126" s="154">
        <f t="shared" si="36"/>
        <v>157884</v>
      </c>
      <c r="N126" s="154">
        <f t="shared" si="37"/>
        <v>166440</v>
      </c>
      <c r="O126" s="154">
        <f t="shared" si="38"/>
        <v>175436</v>
      </c>
      <c r="Q126" s="59">
        <f>'School Rollup'!D126</f>
        <v>75000</v>
      </c>
      <c r="R126" s="59">
        <f>'School Rollup'!E126</f>
        <v>87210</v>
      </c>
      <c r="S126" s="59">
        <f>'School Rollup'!F126</f>
        <v>104000</v>
      </c>
      <c r="T126" s="59">
        <f>'School Rollup'!G126</f>
        <v>113420</v>
      </c>
      <c r="U126" s="59">
        <f>'School Rollup'!H126</f>
        <v>120960</v>
      </c>
      <c r="V126" s="59">
        <f>'School Rollup'!I126</f>
        <v>127600</v>
      </c>
      <c r="W126" s="59">
        <f>'School Rollup'!J126</f>
        <v>134624</v>
      </c>
      <c r="X126" s="59">
        <f>'School Rollup'!K126</f>
        <v>141816</v>
      </c>
      <c r="Y126" s="59">
        <f>'School Rollup'!L126</f>
        <v>149756</v>
      </c>
      <c r="Z126" s="59">
        <f>'School Rollup'!M126</f>
        <v>157884</v>
      </c>
      <c r="AA126" s="59">
        <f>'School Rollup'!N126</f>
        <v>166440</v>
      </c>
      <c r="AB126" s="59">
        <f>'School Rollup'!O126</f>
        <v>175436</v>
      </c>
      <c r="AD126" s="6">
        <f>CSO!E146</f>
        <v>0</v>
      </c>
      <c r="AE126" s="6">
        <f>CSO!F146</f>
        <v>0</v>
      </c>
      <c r="AF126" s="6">
        <f>CSO!G146</f>
        <v>0</v>
      </c>
      <c r="AG126" s="6">
        <f>CSO!H146</f>
        <v>0</v>
      </c>
      <c r="AH126" s="6">
        <f>CSO!I146</f>
        <v>0</v>
      </c>
      <c r="AI126" s="6">
        <f>CSO!J146</f>
        <v>0</v>
      </c>
      <c r="AJ126" s="6">
        <f>CSO!K146</f>
        <v>0</v>
      </c>
      <c r="AK126" s="6">
        <f>CSO!L146</f>
        <v>0</v>
      </c>
      <c r="AL126" s="6">
        <f>CSO!M146</f>
        <v>0</v>
      </c>
      <c r="AM126" s="6">
        <f>CSO!N146</f>
        <v>0</v>
      </c>
      <c r="AN126" s="6">
        <f>CSO!O146</f>
        <v>0</v>
      </c>
      <c r="AO126" s="6">
        <f>CSO!P146</f>
        <v>0</v>
      </c>
    </row>
    <row r="127" spans="1:42" hidden="1" outlineLevel="1" x14ac:dyDescent="0.25">
      <c r="A127" s="100">
        <v>6642</v>
      </c>
      <c r="B127" s="18" t="s">
        <v>568</v>
      </c>
      <c r="D127" s="154">
        <f t="shared" si="39"/>
        <v>86250</v>
      </c>
      <c r="E127" s="154">
        <f t="shared" si="28"/>
        <v>100292</v>
      </c>
      <c r="F127" s="154">
        <f t="shared" si="29"/>
        <v>119600</v>
      </c>
      <c r="G127" s="154">
        <f t="shared" si="30"/>
        <v>130432</v>
      </c>
      <c r="H127" s="154">
        <f t="shared" si="31"/>
        <v>139103</v>
      </c>
      <c r="I127" s="154">
        <f t="shared" si="32"/>
        <v>146741</v>
      </c>
      <c r="J127" s="154">
        <f t="shared" si="33"/>
        <v>154818</v>
      </c>
      <c r="K127" s="154">
        <f t="shared" si="34"/>
        <v>163087</v>
      </c>
      <c r="L127" s="154">
        <f t="shared" si="35"/>
        <v>172218</v>
      </c>
      <c r="M127" s="154">
        <f t="shared" si="36"/>
        <v>181566</v>
      </c>
      <c r="N127" s="154">
        <f t="shared" si="37"/>
        <v>191406</v>
      </c>
      <c r="O127" s="154">
        <f t="shared" si="38"/>
        <v>201752</v>
      </c>
      <c r="Q127" s="59">
        <f>'School Rollup'!D127</f>
        <v>86250</v>
      </c>
      <c r="R127" s="59">
        <f>'School Rollup'!E127</f>
        <v>100292</v>
      </c>
      <c r="S127" s="59">
        <f>'School Rollup'!F127</f>
        <v>119600</v>
      </c>
      <c r="T127" s="59">
        <f>'School Rollup'!G127</f>
        <v>130432</v>
      </c>
      <c r="U127" s="59">
        <f>'School Rollup'!H127</f>
        <v>139103</v>
      </c>
      <c r="V127" s="59">
        <f>'School Rollup'!I127</f>
        <v>146741</v>
      </c>
      <c r="W127" s="59">
        <f>'School Rollup'!J127</f>
        <v>154818</v>
      </c>
      <c r="X127" s="59">
        <f>'School Rollup'!K127</f>
        <v>163087</v>
      </c>
      <c r="Y127" s="59">
        <f>'School Rollup'!L127</f>
        <v>172218</v>
      </c>
      <c r="Z127" s="59">
        <f>'School Rollup'!M127</f>
        <v>181566</v>
      </c>
      <c r="AA127" s="59">
        <f>'School Rollup'!N127</f>
        <v>191406</v>
      </c>
      <c r="AB127" s="59">
        <f>'School Rollup'!O127</f>
        <v>201752</v>
      </c>
      <c r="AD127" s="6">
        <f>CSO!E147</f>
        <v>0</v>
      </c>
      <c r="AE127" s="6">
        <f>CSO!F147</f>
        <v>0</v>
      </c>
      <c r="AF127" s="6">
        <f>CSO!G147</f>
        <v>0</v>
      </c>
      <c r="AG127" s="6">
        <f>CSO!H147</f>
        <v>0</v>
      </c>
      <c r="AH127" s="6">
        <f>CSO!I147</f>
        <v>0</v>
      </c>
      <c r="AI127" s="6">
        <f>CSO!J147</f>
        <v>0</v>
      </c>
      <c r="AJ127" s="6">
        <f>CSO!K147</f>
        <v>0</v>
      </c>
      <c r="AK127" s="6">
        <f>CSO!L147</f>
        <v>0</v>
      </c>
      <c r="AL127" s="6">
        <f>CSO!M147</f>
        <v>0</v>
      </c>
      <c r="AM127" s="6">
        <f>CSO!N147</f>
        <v>0</v>
      </c>
      <c r="AN127" s="6">
        <f>CSO!O147</f>
        <v>0</v>
      </c>
      <c r="AO127" s="6">
        <f>CSO!P147</f>
        <v>0</v>
      </c>
    </row>
    <row r="128" spans="1:42" s="271" customFormat="1" collapsed="1" x14ac:dyDescent="0.25">
      <c r="A128" s="286">
        <v>642</v>
      </c>
      <c r="B128" s="275" t="s">
        <v>468</v>
      </c>
      <c r="D128" s="265">
        <f t="shared" si="39"/>
        <v>161250</v>
      </c>
      <c r="E128" s="265">
        <f t="shared" si="28"/>
        <v>187502</v>
      </c>
      <c r="F128" s="265">
        <f t="shared" si="29"/>
        <v>223600</v>
      </c>
      <c r="G128" s="265">
        <f t="shared" si="30"/>
        <v>243852</v>
      </c>
      <c r="H128" s="265">
        <f t="shared" si="31"/>
        <v>260063</v>
      </c>
      <c r="I128" s="265">
        <f t="shared" si="32"/>
        <v>274341</v>
      </c>
      <c r="J128" s="265">
        <f t="shared" si="33"/>
        <v>289442</v>
      </c>
      <c r="K128" s="265">
        <f t="shared" si="34"/>
        <v>304903</v>
      </c>
      <c r="L128" s="265">
        <f t="shared" si="35"/>
        <v>321974</v>
      </c>
      <c r="M128" s="265">
        <f t="shared" si="36"/>
        <v>339450</v>
      </c>
      <c r="N128" s="265">
        <f t="shared" si="37"/>
        <v>357846</v>
      </c>
      <c r="O128" s="265">
        <f t="shared" si="38"/>
        <v>377188</v>
      </c>
      <c r="Q128" s="266">
        <f>'School Rollup'!D128</f>
        <v>161250</v>
      </c>
      <c r="R128" s="266">
        <f>'School Rollup'!E128</f>
        <v>187502</v>
      </c>
      <c r="S128" s="266">
        <f>'School Rollup'!F128</f>
        <v>223600</v>
      </c>
      <c r="T128" s="266">
        <f>'School Rollup'!G128</f>
        <v>243852</v>
      </c>
      <c r="U128" s="266">
        <f>'School Rollup'!H128</f>
        <v>260063</v>
      </c>
      <c r="V128" s="266">
        <f>'School Rollup'!I128</f>
        <v>274341</v>
      </c>
      <c r="W128" s="266">
        <f>'School Rollup'!J128</f>
        <v>289442</v>
      </c>
      <c r="X128" s="266">
        <f>'School Rollup'!K128</f>
        <v>304903</v>
      </c>
      <c r="Y128" s="266">
        <f>'School Rollup'!L128</f>
        <v>321974</v>
      </c>
      <c r="Z128" s="266">
        <f>'School Rollup'!M128</f>
        <v>339450</v>
      </c>
      <c r="AA128" s="266">
        <f>'School Rollup'!N128</f>
        <v>357846</v>
      </c>
      <c r="AB128" s="266">
        <f>'School Rollup'!O128</f>
        <v>377188</v>
      </c>
      <c r="AC128" s="267"/>
      <c r="AD128" s="268">
        <f>CSO!E148</f>
        <v>0</v>
      </c>
      <c r="AE128" s="268">
        <f>CSO!F148</f>
        <v>0</v>
      </c>
      <c r="AF128" s="268">
        <f>CSO!G148</f>
        <v>0</v>
      </c>
      <c r="AG128" s="268">
        <f>CSO!H148</f>
        <v>0</v>
      </c>
      <c r="AH128" s="268">
        <f>CSO!I148</f>
        <v>0</v>
      </c>
      <c r="AI128" s="268">
        <f>CSO!J148</f>
        <v>0</v>
      </c>
      <c r="AJ128" s="268">
        <f>CSO!K148</f>
        <v>0</v>
      </c>
      <c r="AK128" s="268">
        <f>CSO!L148</f>
        <v>0</v>
      </c>
      <c r="AL128" s="268">
        <f>CSO!M148</f>
        <v>0</v>
      </c>
      <c r="AM128" s="268">
        <f>CSO!N148</f>
        <v>0</v>
      </c>
      <c r="AN128" s="268">
        <f>CSO!O148</f>
        <v>0</v>
      </c>
      <c r="AO128" s="268">
        <f>CSO!P148</f>
        <v>0</v>
      </c>
      <c r="AP128" s="267"/>
    </row>
    <row r="129" spans="1:42" s="31" customFormat="1" hidden="1" outlineLevel="1" x14ac:dyDescent="0.25">
      <c r="A129" s="100">
        <v>6651</v>
      </c>
      <c r="B129" s="18" t="s">
        <v>473</v>
      </c>
      <c r="D129" s="154">
        <f t="shared" si="39"/>
        <v>600</v>
      </c>
      <c r="E129" s="154">
        <f t="shared" si="28"/>
        <v>600</v>
      </c>
      <c r="F129" s="154">
        <f t="shared" si="29"/>
        <v>600</v>
      </c>
      <c r="G129" s="154">
        <f t="shared" si="30"/>
        <v>600</v>
      </c>
      <c r="H129" s="154">
        <f t="shared" si="31"/>
        <v>600</v>
      </c>
      <c r="I129" s="154">
        <f t="shared" si="32"/>
        <v>600</v>
      </c>
      <c r="J129" s="154">
        <f t="shared" si="33"/>
        <v>600</v>
      </c>
      <c r="K129" s="154">
        <f t="shared" si="34"/>
        <v>600</v>
      </c>
      <c r="L129" s="154">
        <f t="shared" si="35"/>
        <v>600</v>
      </c>
      <c r="M129" s="154">
        <f t="shared" si="36"/>
        <v>600</v>
      </c>
      <c r="N129" s="154">
        <f t="shared" si="37"/>
        <v>600</v>
      </c>
      <c r="O129" s="154">
        <f t="shared" si="38"/>
        <v>600</v>
      </c>
      <c r="Q129" s="59">
        <f>'School Rollup'!D129</f>
        <v>0</v>
      </c>
      <c r="R129" s="59">
        <f>'School Rollup'!E129</f>
        <v>0</v>
      </c>
      <c r="S129" s="59">
        <f>'School Rollup'!F129</f>
        <v>0</v>
      </c>
      <c r="T129" s="59">
        <f>'School Rollup'!G129</f>
        <v>0</v>
      </c>
      <c r="U129" s="59">
        <f>'School Rollup'!H129</f>
        <v>0</v>
      </c>
      <c r="V129" s="59">
        <f>'School Rollup'!I129</f>
        <v>0</v>
      </c>
      <c r="W129" s="59">
        <f>'School Rollup'!J129</f>
        <v>0</v>
      </c>
      <c r="X129" s="59">
        <f>'School Rollup'!K129</f>
        <v>0</v>
      </c>
      <c r="Y129" s="59">
        <f>'School Rollup'!L129</f>
        <v>0</v>
      </c>
      <c r="Z129" s="59">
        <f>'School Rollup'!M129</f>
        <v>0</v>
      </c>
      <c r="AA129" s="59">
        <f>'School Rollup'!N129</f>
        <v>0</v>
      </c>
      <c r="AB129" s="59">
        <f>'School Rollup'!O129</f>
        <v>0</v>
      </c>
      <c r="AC129"/>
      <c r="AD129" s="6">
        <f>CSO!E149</f>
        <v>600</v>
      </c>
      <c r="AE129" s="6">
        <f>CSO!F149</f>
        <v>600</v>
      </c>
      <c r="AF129" s="6">
        <f>CSO!G149</f>
        <v>600</v>
      </c>
      <c r="AG129" s="6">
        <f>CSO!H149</f>
        <v>600</v>
      </c>
      <c r="AH129" s="6">
        <f>CSO!I149</f>
        <v>600</v>
      </c>
      <c r="AI129" s="6">
        <f>CSO!J149</f>
        <v>600</v>
      </c>
      <c r="AJ129" s="6">
        <f>CSO!K149</f>
        <v>600</v>
      </c>
      <c r="AK129" s="6">
        <f>CSO!L149</f>
        <v>600</v>
      </c>
      <c r="AL129" s="6">
        <f>CSO!M149</f>
        <v>600</v>
      </c>
      <c r="AM129" s="6">
        <f>CSO!N149</f>
        <v>600</v>
      </c>
      <c r="AN129" s="6">
        <f>CSO!O149</f>
        <v>600</v>
      </c>
      <c r="AO129" s="6">
        <f>CSO!P149</f>
        <v>600</v>
      </c>
      <c r="AP129"/>
    </row>
    <row r="130" spans="1:42" s="31" customFormat="1" hidden="1" outlineLevel="1" x14ac:dyDescent="0.25">
      <c r="A130" s="100">
        <v>6651</v>
      </c>
      <c r="B130" s="18" t="s">
        <v>474</v>
      </c>
      <c r="D130" s="154">
        <f t="shared" si="39"/>
        <v>3000</v>
      </c>
      <c r="E130" s="154">
        <f t="shared" si="28"/>
        <v>3000</v>
      </c>
      <c r="F130" s="154">
        <f t="shared" si="29"/>
        <v>3000</v>
      </c>
      <c r="G130" s="154">
        <f t="shared" si="30"/>
        <v>3000</v>
      </c>
      <c r="H130" s="154">
        <f t="shared" si="31"/>
        <v>3000</v>
      </c>
      <c r="I130" s="154">
        <f t="shared" si="32"/>
        <v>3000</v>
      </c>
      <c r="J130" s="154">
        <f t="shared" si="33"/>
        <v>3000</v>
      </c>
      <c r="K130" s="154">
        <f t="shared" si="34"/>
        <v>3000</v>
      </c>
      <c r="L130" s="154">
        <f t="shared" si="35"/>
        <v>3000</v>
      </c>
      <c r="M130" s="154">
        <f t="shared" si="36"/>
        <v>3000</v>
      </c>
      <c r="N130" s="154">
        <f t="shared" si="37"/>
        <v>3000</v>
      </c>
      <c r="O130" s="154">
        <f t="shared" si="38"/>
        <v>3000</v>
      </c>
      <c r="Q130" s="59">
        <f>'School Rollup'!D130</f>
        <v>0</v>
      </c>
      <c r="R130" s="59">
        <f>'School Rollup'!E130</f>
        <v>0</v>
      </c>
      <c r="S130" s="59">
        <f>'School Rollup'!F130</f>
        <v>0</v>
      </c>
      <c r="T130" s="59">
        <f>'School Rollup'!G130</f>
        <v>0</v>
      </c>
      <c r="U130" s="59">
        <f>'School Rollup'!H130</f>
        <v>0</v>
      </c>
      <c r="V130" s="59">
        <f>'School Rollup'!I130</f>
        <v>0</v>
      </c>
      <c r="W130" s="59">
        <f>'School Rollup'!J130</f>
        <v>0</v>
      </c>
      <c r="X130" s="59">
        <f>'School Rollup'!K130</f>
        <v>0</v>
      </c>
      <c r="Y130" s="59">
        <f>'School Rollup'!L130</f>
        <v>0</v>
      </c>
      <c r="Z130" s="59">
        <f>'School Rollup'!M130</f>
        <v>0</v>
      </c>
      <c r="AA130" s="59">
        <f>'School Rollup'!N130</f>
        <v>0</v>
      </c>
      <c r="AB130" s="59">
        <f>'School Rollup'!O130</f>
        <v>0</v>
      </c>
      <c r="AC130"/>
      <c r="AD130" s="6">
        <f>CSO!E150</f>
        <v>3000</v>
      </c>
      <c r="AE130" s="6">
        <f>CSO!F150</f>
        <v>3000</v>
      </c>
      <c r="AF130" s="6">
        <f>CSO!G150</f>
        <v>3000</v>
      </c>
      <c r="AG130" s="6">
        <f>CSO!H150</f>
        <v>3000</v>
      </c>
      <c r="AH130" s="6">
        <f>CSO!I150</f>
        <v>3000</v>
      </c>
      <c r="AI130" s="6">
        <f>CSO!J150</f>
        <v>3000</v>
      </c>
      <c r="AJ130" s="6">
        <f>CSO!K150</f>
        <v>3000</v>
      </c>
      <c r="AK130" s="6">
        <f>CSO!L150</f>
        <v>3000</v>
      </c>
      <c r="AL130" s="6">
        <f>CSO!M150</f>
        <v>3000</v>
      </c>
      <c r="AM130" s="6">
        <f>CSO!N150</f>
        <v>3000</v>
      </c>
      <c r="AN130" s="6">
        <f>CSO!O150</f>
        <v>3000</v>
      </c>
      <c r="AO130" s="6">
        <f>CSO!P150</f>
        <v>3000</v>
      </c>
      <c r="AP130"/>
    </row>
    <row r="131" spans="1:42" s="31" customFormat="1" hidden="1" outlineLevel="1" x14ac:dyDescent="0.25">
      <c r="A131" s="100">
        <v>6651</v>
      </c>
      <c r="B131" s="18" t="s">
        <v>491</v>
      </c>
      <c r="D131" s="154">
        <f t="shared" si="39"/>
        <v>480</v>
      </c>
      <c r="E131" s="154">
        <f t="shared" si="28"/>
        <v>480</v>
      </c>
      <c r="F131" s="154">
        <f t="shared" si="29"/>
        <v>480</v>
      </c>
      <c r="G131" s="154">
        <f t="shared" si="30"/>
        <v>480</v>
      </c>
      <c r="H131" s="154">
        <f t="shared" si="31"/>
        <v>480</v>
      </c>
      <c r="I131" s="154">
        <f t="shared" si="32"/>
        <v>480</v>
      </c>
      <c r="J131" s="154">
        <f t="shared" si="33"/>
        <v>480</v>
      </c>
      <c r="K131" s="154">
        <f t="shared" si="34"/>
        <v>480</v>
      </c>
      <c r="L131" s="154">
        <f t="shared" si="35"/>
        <v>480</v>
      </c>
      <c r="M131" s="154">
        <f t="shared" si="36"/>
        <v>480</v>
      </c>
      <c r="N131" s="154">
        <f t="shared" si="37"/>
        <v>480</v>
      </c>
      <c r="O131" s="154">
        <f t="shared" si="38"/>
        <v>480</v>
      </c>
      <c r="Q131" s="59">
        <f>'School Rollup'!D131</f>
        <v>0</v>
      </c>
      <c r="R131" s="59">
        <f>'School Rollup'!E131</f>
        <v>0</v>
      </c>
      <c r="S131" s="59">
        <f>'School Rollup'!F131</f>
        <v>0</v>
      </c>
      <c r="T131" s="59">
        <f>'School Rollup'!G131</f>
        <v>0</v>
      </c>
      <c r="U131" s="59">
        <f>'School Rollup'!H131</f>
        <v>0</v>
      </c>
      <c r="V131" s="59">
        <f>'School Rollup'!I131</f>
        <v>0</v>
      </c>
      <c r="W131" s="59">
        <f>'School Rollup'!J131</f>
        <v>0</v>
      </c>
      <c r="X131" s="59">
        <f>'School Rollup'!K131</f>
        <v>0</v>
      </c>
      <c r="Y131" s="59">
        <f>'School Rollup'!L131</f>
        <v>0</v>
      </c>
      <c r="Z131" s="59">
        <f>'School Rollup'!M131</f>
        <v>0</v>
      </c>
      <c r="AA131" s="59">
        <f>'School Rollup'!N131</f>
        <v>0</v>
      </c>
      <c r="AB131" s="59">
        <f>'School Rollup'!O131</f>
        <v>0</v>
      </c>
      <c r="AC131"/>
      <c r="AD131" s="6">
        <f>CSO!E151</f>
        <v>480</v>
      </c>
      <c r="AE131" s="6">
        <f>CSO!F151</f>
        <v>480</v>
      </c>
      <c r="AF131" s="6">
        <f>CSO!G151</f>
        <v>480</v>
      </c>
      <c r="AG131" s="6">
        <f>CSO!H151</f>
        <v>480</v>
      </c>
      <c r="AH131" s="6">
        <f>CSO!I151</f>
        <v>480</v>
      </c>
      <c r="AI131" s="6">
        <f>CSO!J151</f>
        <v>480</v>
      </c>
      <c r="AJ131" s="6">
        <f>CSO!K151</f>
        <v>480</v>
      </c>
      <c r="AK131" s="6">
        <f>CSO!L151</f>
        <v>480</v>
      </c>
      <c r="AL131" s="6">
        <f>CSO!M151</f>
        <v>480</v>
      </c>
      <c r="AM131" s="6">
        <f>CSO!N151</f>
        <v>480</v>
      </c>
      <c r="AN131" s="6">
        <f>CSO!O151</f>
        <v>480</v>
      </c>
      <c r="AO131" s="6">
        <f>CSO!P151</f>
        <v>480</v>
      </c>
      <c r="AP131"/>
    </row>
    <row r="132" spans="1:42" s="31" customFormat="1" hidden="1" outlineLevel="1" x14ac:dyDescent="0.25">
      <c r="A132" s="100">
        <v>6651</v>
      </c>
      <c r="B132" s="18" t="s">
        <v>475</v>
      </c>
      <c r="D132" s="154">
        <f t="shared" si="39"/>
        <v>350</v>
      </c>
      <c r="E132" s="154">
        <f t="shared" si="28"/>
        <v>350</v>
      </c>
      <c r="F132" s="154">
        <f t="shared" si="29"/>
        <v>350</v>
      </c>
      <c r="G132" s="154">
        <f t="shared" si="30"/>
        <v>350</v>
      </c>
      <c r="H132" s="154">
        <f t="shared" si="31"/>
        <v>350</v>
      </c>
      <c r="I132" s="154">
        <f t="shared" si="32"/>
        <v>350</v>
      </c>
      <c r="J132" s="154">
        <f t="shared" si="33"/>
        <v>350</v>
      </c>
      <c r="K132" s="154">
        <f t="shared" si="34"/>
        <v>350</v>
      </c>
      <c r="L132" s="154">
        <f t="shared" si="35"/>
        <v>350</v>
      </c>
      <c r="M132" s="154">
        <f t="shared" si="36"/>
        <v>350</v>
      </c>
      <c r="N132" s="154">
        <f t="shared" si="37"/>
        <v>350</v>
      </c>
      <c r="O132" s="154">
        <f t="shared" si="38"/>
        <v>350</v>
      </c>
      <c r="Q132" s="59">
        <f>'School Rollup'!D132</f>
        <v>0</v>
      </c>
      <c r="R132" s="59">
        <f>'School Rollup'!E132</f>
        <v>0</v>
      </c>
      <c r="S132" s="59">
        <f>'School Rollup'!F132</f>
        <v>0</v>
      </c>
      <c r="T132" s="59">
        <f>'School Rollup'!G132</f>
        <v>0</v>
      </c>
      <c r="U132" s="59">
        <f>'School Rollup'!H132</f>
        <v>0</v>
      </c>
      <c r="V132" s="59">
        <f>'School Rollup'!I132</f>
        <v>0</v>
      </c>
      <c r="W132" s="59">
        <f>'School Rollup'!J132</f>
        <v>0</v>
      </c>
      <c r="X132" s="59">
        <f>'School Rollup'!K132</f>
        <v>0</v>
      </c>
      <c r="Y132" s="59">
        <f>'School Rollup'!L132</f>
        <v>0</v>
      </c>
      <c r="Z132" s="59">
        <f>'School Rollup'!M132</f>
        <v>0</v>
      </c>
      <c r="AA132" s="59">
        <f>'School Rollup'!N132</f>
        <v>0</v>
      </c>
      <c r="AB132" s="59">
        <f>'School Rollup'!O132</f>
        <v>0</v>
      </c>
      <c r="AC132"/>
      <c r="AD132" s="6">
        <f>CSO!E152</f>
        <v>350</v>
      </c>
      <c r="AE132" s="6">
        <f>CSO!F152</f>
        <v>350</v>
      </c>
      <c r="AF132" s="6">
        <f>CSO!G152</f>
        <v>350</v>
      </c>
      <c r="AG132" s="6">
        <f>CSO!H152</f>
        <v>350</v>
      </c>
      <c r="AH132" s="6">
        <f>CSO!I152</f>
        <v>350</v>
      </c>
      <c r="AI132" s="6">
        <f>CSO!J152</f>
        <v>350</v>
      </c>
      <c r="AJ132" s="6">
        <f>CSO!K152</f>
        <v>350</v>
      </c>
      <c r="AK132" s="6">
        <f>CSO!L152</f>
        <v>350</v>
      </c>
      <c r="AL132" s="6">
        <f>CSO!M152</f>
        <v>350</v>
      </c>
      <c r="AM132" s="6">
        <f>CSO!N152</f>
        <v>350</v>
      </c>
      <c r="AN132" s="6">
        <f>CSO!O152</f>
        <v>350</v>
      </c>
      <c r="AO132" s="6">
        <f>CSO!P152</f>
        <v>350</v>
      </c>
      <c r="AP132"/>
    </row>
    <row r="133" spans="1:42" s="31" customFormat="1" hidden="1" outlineLevel="1" x14ac:dyDescent="0.25">
      <c r="A133" s="100">
        <v>6651</v>
      </c>
      <c r="B133" s="18" t="s">
        <v>476</v>
      </c>
      <c r="D133" s="154">
        <f t="shared" si="39"/>
        <v>270</v>
      </c>
      <c r="E133" s="154">
        <f t="shared" si="28"/>
        <v>270</v>
      </c>
      <c r="F133" s="154">
        <f t="shared" si="29"/>
        <v>270</v>
      </c>
      <c r="G133" s="154">
        <f t="shared" si="30"/>
        <v>270</v>
      </c>
      <c r="H133" s="154">
        <f t="shared" si="31"/>
        <v>270</v>
      </c>
      <c r="I133" s="154">
        <f t="shared" si="32"/>
        <v>270</v>
      </c>
      <c r="J133" s="154">
        <f t="shared" si="33"/>
        <v>270</v>
      </c>
      <c r="K133" s="154">
        <f t="shared" si="34"/>
        <v>270</v>
      </c>
      <c r="L133" s="154">
        <f t="shared" si="35"/>
        <v>270</v>
      </c>
      <c r="M133" s="154">
        <f t="shared" si="36"/>
        <v>270</v>
      </c>
      <c r="N133" s="154">
        <f t="shared" si="37"/>
        <v>270</v>
      </c>
      <c r="O133" s="154">
        <f t="shared" si="38"/>
        <v>270</v>
      </c>
      <c r="Q133" s="59">
        <f>'School Rollup'!D133</f>
        <v>0</v>
      </c>
      <c r="R133" s="59">
        <f>'School Rollup'!E133</f>
        <v>0</v>
      </c>
      <c r="S133" s="59">
        <f>'School Rollup'!F133</f>
        <v>0</v>
      </c>
      <c r="T133" s="59">
        <f>'School Rollup'!G133</f>
        <v>0</v>
      </c>
      <c r="U133" s="59">
        <f>'School Rollup'!H133</f>
        <v>0</v>
      </c>
      <c r="V133" s="59">
        <f>'School Rollup'!I133</f>
        <v>0</v>
      </c>
      <c r="W133" s="59">
        <f>'School Rollup'!J133</f>
        <v>0</v>
      </c>
      <c r="X133" s="59">
        <f>'School Rollup'!K133</f>
        <v>0</v>
      </c>
      <c r="Y133" s="59">
        <f>'School Rollup'!L133</f>
        <v>0</v>
      </c>
      <c r="Z133" s="59">
        <f>'School Rollup'!M133</f>
        <v>0</v>
      </c>
      <c r="AA133" s="59">
        <f>'School Rollup'!N133</f>
        <v>0</v>
      </c>
      <c r="AB133" s="59">
        <f>'School Rollup'!O133</f>
        <v>0</v>
      </c>
      <c r="AC133"/>
      <c r="AD133" s="6">
        <f>CSO!E153</f>
        <v>270</v>
      </c>
      <c r="AE133" s="6">
        <f>CSO!F153</f>
        <v>270</v>
      </c>
      <c r="AF133" s="6">
        <f>CSO!G153</f>
        <v>270</v>
      </c>
      <c r="AG133" s="6">
        <f>CSO!H153</f>
        <v>270</v>
      </c>
      <c r="AH133" s="6">
        <f>CSO!I153</f>
        <v>270</v>
      </c>
      <c r="AI133" s="6">
        <f>CSO!J153</f>
        <v>270</v>
      </c>
      <c r="AJ133" s="6">
        <f>CSO!K153</f>
        <v>270</v>
      </c>
      <c r="AK133" s="6">
        <f>CSO!L153</f>
        <v>270</v>
      </c>
      <c r="AL133" s="6">
        <f>CSO!M153</f>
        <v>270</v>
      </c>
      <c r="AM133" s="6">
        <f>CSO!N153</f>
        <v>270</v>
      </c>
      <c r="AN133" s="6">
        <f>CSO!O153</f>
        <v>270</v>
      </c>
      <c r="AO133" s="6">
        <f>CSO!P153</f>
        <v>270</v>
      </c>
      <c r="AP133"/>
    </row>
    <row r="134" spans="1:42" s="31" customFormat="1" hidden="1" outlineLevel="1" x14ac:dyDescent="0.25">
      <c r="A134" s="100">
        <v>6651</v>
      </c>
      <c r="B134" s="18" t="s">
        <v>477</v>
      </c>
      <c r="D134" s="154">
        <f t="shared" si="39"/>
        <v>2700</v>
      </c>
      <c r="E134" s="154">
        <f t="shared" si="28"/>
        <v>2700</v>
      </c>
      <c r="F134" s="154">
        <f t="shared" si="29"/>
        <v>2700</v>
      </c>
      <c r="G134" s="154">
        <f t="shared" si="30"/>
        <v>2700</v>
      </c>
      <c r="H134" s="154">
        <f t="shared" si="31"/>
        <v>2700</v>
      </c>
      <c r="I134" s="154">
        <f t="shared" si="32"/>
        <v>2700</v>
      </c>
      <c r="J134" s="154">
        <f t="shared" si="33"/>
        <v>2700</v>
      </c>
      <c r="K134" s="154">
        <f t="shared" si="34"/>
        <v>2700</v>
      </c>
      <c r="L134" s="154">
        <f t="shared" si="35"/>
        <v>2700</v>
      </c>
      <c r="M134" s="154">
        <f t="shared" si="36"/>
        <v>2700</v>
      </c>
      <c r="N134" s="154">
        <f t="shared" si="37"/>
        <v>2700</v>
      </c>
      <c r="O134" s="154">
        <f t="shared" si="38"/>
        <v>2700</v>
      </c>
      <c r="Q134" s="59">
        <f>'School Rollup'!D134</f>
        <v>0</v>
      </c>
      <c r="R134" s="59">
        <f>'School Rollup'!E134</f>
        <v>0</v>
      </c>
      <c r="S134" s="59">
        <f>'School Rollup'!F134</f>
        <v>0</v>
      </c>
      <c r="T134" s="59">
        <f>'School Rollup'!G134</f>
        <v>0</v>
      </c>
      <c r="U134" s="59">
        <f>'School Rollup'!H134</f>
        <v>0</v>
      </c>
      <c r="V134" s="59">
        <f>'School Rollup'!I134</f>
        <v>0</v>
      </c>
      <c r="W134" s="59">
        <f>'School Rollup'!J134</f>
        <v>0</v>
      </c>
      <c r="X134" s="59">
        <f>'School Rollup'!K134</f>
        <v>0</v>
      </c>
      <c r="Y134" s="59">
        <f>'School Rollup'!L134</f>
        <v>0</v>
      </c>
      <c r="Z134" s="59">
        <f>'School Rollup'!M134</f>
        <v>0</v>
      </c>
      <c r="AA134" s="59">
        <f>'School Rollup'!N134</f>
        <v>0</v>
      </c>
      <c r="AB134" s="59">
        <f>'School Rollup'!O134</f>
        <v>0</v>
      </c>
      <c r="AC134"/>
      <c r="AD134" s="6">
        <f>CSO!E154</f>
        <v>2700</v>
      </c>
      <c r="AE134" s="6">
        <f>CSO!F154</f>
        <v>2700</v>
      </c>
      <c r="AF134" s="6">
        <f>CSO!G154</f>
        <v>2700</v>
      </c>
      <c r="AG134" s="6">
        <f>CSO!H154</f>
        <v>2700</v>
      </c>
      <c r="AH134" s="6">
        <f>CSO!I154</f>
        <v>2700</v>
      </c>
      <c r="AI134" s="6">
        <f>CSO!J154</f>
        <v>2700</v>
      </c>
      <c r="AJ134" s="6">
        <f>CSO!K154</f>
        <v>2700</v>
      </c>
      <c r="AK134" s="6">
        <f>CSO!L154</f>
        <v>2700</v>
      </c>
      <c r="AL134" s="6">
        <f>CSO!M154</f>
        <v>2700</v>
      </c>
      <c r="AM134" s="6">
        <f>CSO!N154</f>
        <v>2700</v>
      </c>
      <c r="AN134" s="6">
        <f>CSO!O154</f>
        <v>2700</v>
      </c>
      <c r="AO134" s="6">
        <f>CSO!P154</f>
        <v>2700</v>
      </c>
      <c r="AP134"/>
    </row>
    <row r="135" spans="1:42" s="31" customFormat="1" hidden="1" outlineLevel="1" x14ac:dyDescent="0.25">
      <c r="A135" s="100">
        <v>6651</v>
      </c>
      <c r="B135" s="18" t="s">
        <v>470</v>
      </c>
      <c r="D135" s="154">
        <f t="shared" si="39"/>
        <v>120</v>
      </c>
      <c r="E135" s="154">
        <f t="shared" si="28"/>
        <v>120</v>
      </c>
      <c r="F135" s="154">
        <f t="shared" si="29"/>
        <v>120</v>
      </c>
      <c r="G135" s="154">
        <f t="shared" si="30"/>
        <v>120</v>
      </c>
      <c r="H135" s="154">
        <f t="shared" si="31"/>
        <v>120</v>
      </c>
      <c r="I135" s="154">
        <f t="shared" si="32"/>
        <v>120</v>
      </c>
      <c r="J135" s="154">
        <f t="shared" si="33"/>
        <v>120</v>
      </c>
      <c r="K135" s="154">
        <f t="shared" si="34"/>
        <v>120</v>
      </c>
      <c r="L135" s="154">
        <f t="shared" si="35"/>
        <v>120</v>
      </c>
      <c r="M135" s="154">
        <f t="shared" si="36"/>
        <v>120</v>
      </c>
      <c r="N135" s="154">
        <f t="shared" si="37"/>
        <v>120</v>
      </c>
      <c r="O135" s="154">
        <f t="shared" si="38"/>
        <v>120</v>
      </c>
      <c r="Q135" s="59">
        <f>'School Rollup'!D135</f>
        <v>0</v>
      </c>
      <c r="R135" s="59">
        <f>'School Rollup'!E135</f>
        <v>0</v>
      </c>
      <c r="S135" s="59">
        <f>'School Rollup'!F135</f>
        <v>0</v>
      </c>
      <c r="T135" s="59">
        <f>'School Rollup'!G135</f>
        <v>0</v>
      </c>
      <c r="U135" s="59">
        <f>'School Rollup'!H135</f>
        <v>0</v>
      </c>
      <c r="V135" s="59">
        <f>'School Rollup'!I135</f>
        <v>0</v>
      </c>
      <c r="W135" s="59">
        <f>'School Rollup'!J135</f>
        <v>0</v>
      </c>
      <c r="X135" s="59">
        <f>'School Rollup'!K135</f>
        <v>0</v>
      </c>
      <c r="Y135" s="59">
        <f>'School Rollup'!L135</f>
        <v>0</v>
      </c>
      <c r="Z135" s="59">
        <f>'School Rollup'!M135</f>
        <v>0</v>
      </c>
      <c r="AA135" s="59">
        <f>'School Rollup'!N135</f>
        <v>0</v>
      </c>
      <c r="AB135" s="59">
        <f>'School Rollup'!O135</f>
        <v>0</v>
      </c>
      <c r="AC135"/>
      <c r="AD135" s="6">
        <f>CSO!E155</f>
        <v>120</v>
      </c>
      <c r="AE135" s="6">
        <f>CSO!F155</f>
        <v>120</v>
      </c>
      <c r="AF135" s="6">
        <f>CSO!G155</f>
        <v>120</v>
      </c>
      <c r="AG135" s="6">
        <f>CSO!H155</f>
        <v>120</v>
      </c>
      <c r="AH135" s="6">
        <f>CSO!I155</f>
        <v>120</v>
      </c>
      <c r="AI135" s="6">
        <f>CSO!J155</f>
        <v>120</v>
      </c>
      <c r="AJ135" s="6">
        <f>CSO!K155</f>
        <v>120</v>
      </c>
      <c r="AK135" s="6">
        <f>CSO!L155</f>
        <v>120</v>
      </c>
      <c r="AL135" s="6">
        <f>CSO!M155</f>
        <v>120</v>
      </c>
      <c r="AM135" s="6">
        <f>CSO!N155</f>
        <v>120</v>
      </c>
      <c r="AN135" s="6">
        <f>CSO!O155</f>
        <v>120</v>
      </c>
      <c r="AO135" s="6">
        <f>CSO!P155</f>
        <v>120</v>
      </c>
      <c r="AP135"/>
    </row>
    <row r="136" spans="1:42" s="31" customFormat="1" hidden="1" outlineLevel="1" x14ac:dyDescent="0.25">
      <c r="A136" s="100">
        <v>6651</v>
      </c>
      <c r="B136" s="18" t="s">
        <v>471</v>
      </c>
      <c r="D136" s="154">
        <f t="shared" si="39"/>
        <v>1200</v>
      </c>
      <c r="E136" s="154">
        <f t="shared" si="28"/>
        <v>1200</v>
      </c>
      <c r="F136" s="154">
        <f t="shared" si="29"/>
        <v>1200</v>
      </c>
      <c r="G136" s="154">
        <f t="shared" si="30"/>
        <v>1200</v>
      </c>
      <c r="H136" s="154">
        <f t="shared" si="31"/>
        <v>1200</v>
      </c>
      <c r="I136" s="154">
        <f t="shared" si="32"/>
        <v>1200</v>
      </c>
      <c r="J136" s="154">
        <f t="shared" si="33"/>
        <v>1200</v>
      </c>
      <c r="K136" s="154">
        <f t="shared" si="34"/>
        <v>1200</v>
      </c>
      <c r="L136" s="154">
        <f t="shared" si="35"/>
        <v>1200</v>
      </c>
      <c r="M136" s="154">
        <f t="shared" si="36"/>
        <v>1200</v>
      </c>
      <c r="N136" s="154">
        <f t="shared" si="37"/>
        <v>1200</v>
      </c>
      <c r="O136" s="154">
        <f t="shared" si="38"/>
        <v>1200</v>
      </c>
      <c r="Q136" s="59">
        <f>'School Rollup'!D136</f>
        <v>0</v>
      </c>
      <c r="R136" s="59">
        <f>'School Rollup'!E136</f>
        <v>0</v>
      </c>
      <c r="S136" s="59">
        <f>'School Rollup'!F136</f>
        <v>0</v>
      </c>
      <c r="T136" s="59">
        <f>'School Rollup'!G136</f>
        <v>0</v>
      </c>
      <c r="U136" s="59">
        <f>'School Rollup'!H136</f>
        <v>0</v>
      </c>
      <c r="V136" s="59">
        <f>'School Rollup'!I136</f>
        <v>0</v>
      </c>
      <c r="W136" s="59">
        <f>'School Rollup'!J136</f>
        <v>0</v>
      </c>
      <c r="X136" s="59">
        <f>'School Rollup'!K136</f>
        <v>0</v>
      </c>
      <c r="Y136" s="59">
        <f>'School Rollup'!L136</f>
        <v>0</v>
      </c>
      <c r="Z136" s="59">
        <f>'School Rollup'!M136</f>
        <v>0</v>
      </c>
      <c r="AA136" s="59">
        <f>'School Rollup'!N136</f>
        <v>0</v>
      </c>
      <c r="AB136" s="59">
        <f>'School Rollup'!O136</f>
        <v>0</v>
      </c>
      <c r="AC136"/>
      <c r="AD136" s="6">
        <f>CSO!E156</f>
        <v>1200</v>
      </c>
      <c r="AE136" s="6">
        <f>CSO!F156</f>
        <v>1200</v>
      </c>
      <c r="AF136" s="6">
        <f>CSO!G156</f>
        <v>1200</v>
      </c>
      <c r="AG136" s="6">
        <f>CSO!H156</f>
        <v>1200</v>
      </c>
      <c r="AH136" s="6">
        <f>CSO!I156</f>
        <v>1200</v>
      </c>
      <c r="AI136" s="6">
        <f>CSO!J156</f>
        <v>1200</v>
      </c>
      <c r="AJ136" s="6">
        <f>CSO!K156</f>
        <v>1200</v>
      </c>
      <c r="AK136" s="6">
        <f>CSO!L156</f>
        <v>1200</v>
      </c>
      <c r="AL136" s="6">
        <f>CSO!M156</f>
        <v>1200</v>
      </c>
      <c r="AM136" s="6">
        <f>CSO!N156</f>
        <v>1200</v>
      </c>
      <c r="AN136" s="6">
        <f>CSO!O156</f>
        <v>1200</v>
      </c>
      <c r="AO136" s="6">
        <f>CSO!P156</f>
        <v>1200</v>
      </c>
      <c r="AP136"/>
    </row>
    <row r="137" spans="1:42" s="31" customFormat="1" hidden="1" outlineLevel="1" x14ac:dyDescent="0.25">
      <c r="A137" s="100">
        <v>6651</v>
      </c>
      <c r="B137" s="18" t="s">
        <v>472</v>
      </c>
      <c r="D137" s="154">
        <f t="shared" si="39"/>
        <v>18000</v>
      </c>
      <c r="E137" s="154">
        <f t="shared" si="28"/>
        <v>9000</v>
      </c>
      <c r="F137" s="154">
        <f t="shared" si="29"/>
        <v>9000</v>
      </c>
      <c r="G137" s="154">
        <f t="shared" si="30"/>
        <v>9000</v>
      </c>
      <c r="H137" s="154">
        <f t="shared" si="31"/>
        <v>9000</v>
      </c>
      <c r="I137" s="154">
        <f t="shared" si="32"/>
        <v>9000</v>
      </c>
      <c r="J137" s="154">
        <f t="shared" si="33"/>
        <v>9000</v>
      </c>
      <c r="K137" s="154">
        <f t="shared" si="34"/>
        <v>9000</v>
      </c>
      <c r="L137" s="154">
        <f t="shared" si="35"/>
        <v>9000</v>
      </c>
      <c r="M137" s="154">
        <f t="shared" si="36"/>
        <v>9000</v>
      </c>
      <c r="N137" s="154">
        <f t="shared" si="37"/>
        <v>9000</v>
      </c>
      <c r="O137" s="154">
        <f t="shared" si="38"/>
        <v>9000</v>
      </c>
      <c r="Q137" s="59">
        <f>'School Rollup'!D137</f>
        <v>9000</v>
      </c>
      <c r="R137" s="59">
        <f>'School Rollup'!E137</f>
        <v>0</v>
      </c>
      <c r="S137" s="59">
        <f>'School Rollup'!F137</f>
        <v>0</v>
      </c>
      <c r="T137" s="59">
        <f>'School Rollup'!G137</f>
        <v>0</v>
      </c>
      <c r="U137" s="59">
        <f>'School Rollup'!H137</f>
        <v>0</v>
      </c>
      <c r="V137" s="59">
        <f>'School Rollup'!I137</f>
        <v>0</v>
      </c>
      <c r="W137" s="59">
        <f>'School Rollup'!J137</f>
        <v>0</v>
      </c>
      <c r="X137" s="59">
        <f>'School Rollup'!K137</f>
        <v>0</v>
      </c>
      <c r="Y137" s="59">
        <f>'School Rollup'!L137</f>
        <v>0</v>
      </c>
      <c r="Z137" s="59">
        <f>'School Rollup'!M137</f>
        <v>0</v>
      </c>
      <c r="AA137" s="59">
        <f>'School Rollup'!N137</f>
        <v>0</v>
      </c>
      <c r="AB137" s="59">
        <f>'School Rollup'!O137</f>
        <v>0</v>
      </c>
      <c r="AC137"/>
      <c r="AD137" s="6">
        <f>CSO!E157</f>
        <v>9000</v>
      </c>
      <c r="AE137" s="6">
        <f>CSO!F157</f>
        <v>9000</v>
      </c>
      <c r="AF137" s="6">
        <f>CSO!G157</f>
        <v>9000</v>
      </c>
      <c r="AG137" s="6">
        <f>CSO!H157</f>
        <v>9000</v>
      </c>
      <c r="AH137" s="6">
        <f>CSO!I157</f>
        <v>9000</v>
      </c>
      <c r="AI137" s="6">
        <f>CSO!J157</f>
        <v>9000</v>
      </c>
      <c r="AJ137" s="6">
        <f>CSO!K157</f>
        <v>9000</v>
      </c>
      <c r="AK137" s="6">
        <f>CSO!L157</f>
        <v>9000</v>
      </c>
      <c r="AL137" s="6">
        <f>CSO!M157</f>
        <v>9000</v>
      </c>
      <c r="AM137" s="6">
        <f>CSO!N157</f>
        <v>9000</v>
      </c>
      <c r="AN137" s="6">
        <f>CSO!O157</f>
        <v>9000</v>
      </c>
      <c r="AO137" s="6">
        <f>CSO!P157</f>
        <v>9000</v>
      </c>
      <c r="AP137"/>
    </row>
    <row r="138" spans="1:42" s="31" customFormat="1" hidden="1" outlineLevel="1" x14ac:dyDescent="0.25">
      <c r="A138" s="100">
        <v>6651</v>
      </c>
      <c r="B138" s="18" t="s">
        <v>766</v>
      </c>
      <c r="D138" s="154">
        <f t="shared" si="39"/>
        <v>6000</v>
      </c>
      <c r="E138" s="154">
        <f t="shared" si="28"/>
        <v>3000</v>
      </c>
      <c r="F138" s="154">
        <f t="shared" si="29"/>
        <v>3000</v>
      </c>
      <c r="G138" s="154">
        <f t="shared" si="30"/>
        <v>3000</v>
      </c>
      <c r="H138" s="154">
        <f t="shared" si="31"/>
        <v>3000</v>
      </c>
      <c r="I138" s="154">
        <f t="shared" si="32"/>
        <v>3000</v>
      </c>
      <c r="J138" s="154">
        <f t="shared" si="33"/>
        <v>3000</v>
      </c>
      <c r="K138" s="154">
        <f t="shared" si="34"/>
        <v>3000</v>
      </c>
      <c r="L138" s="154">
        <f t="shared" si="35"/>
        <v>3000</v>
      </c>
      <c r="M138" s="154">
        <f t="shared" si="36"/>
        <v>3000</v>
      </c>
      <c r="N138" s="154">
        <f t="shared" si="37"/>
        <v>3000</v>
      </c>
      <c r="O138" s="154">
        <f t="shared" si="38"/>
        <v>3000</v>
      </c>
      <c r="Q138" s="59">
        <f>'School Rollup'!D138</f>
        <v>3000</v>
      </c>
      <c r="R138" s="59">
        <f>'School Rollup'!E138</f>
        <v>0</v>
      </c>
      <c r="S138" s="59">
        <f>'School Rollup'!F138</f>
        <v>0</v>
      </c>
      <c r="T138" s="59">
        <f>'School Rollup'!G138</f>
        <v>0</v>
      </c>
      <c r="U138" s="59">
        <f>'School Rollup'!H138</f>
        <v>0</v>
      </c>
      <c r="V138" s="59">
        <f>'School Rollup'!I138</f>
        <v>0</v>
      </c>
      <c r="W138" s="59">
        <f>'School Rollup'!J138</f>
        <v>0</v>
      </c>
      <c r="X138" s="59">
        <f>'School Rollup'!K138</f>
        <v>0</v>
      </c>
      <c r="Y138" s="59">
        <f>'School Rollup'!L138</f>
        <v>0</v>
      </c>
      <c r="Z138" s="59">
        <f>'School Rollup'!M138</f>
        <v>0</v>
      </c>
      <c r="AA138" s="59">
        <f>'School Rollup'!N138</f>
        <v>0</v>
      </c>
      <c r="AB138" s="59">
        <f>'School Rollup'!O138</f>
        <v>0</v>
      </c>
      <c r="AC138"/>
      <c r="AD138" s="6">
        <f>CSO!E158</f>
        <v>3000</v>
      </c>
      <c r="AE138" s="6">
        <f>CSO!F158</f>
        <v>3000</v>
      </c>
      <c r="AF138" s="6">
        <f>CSO!G158</f>
        <v>3000</v>
      </c>
      <c r="AG138" s="6">
        <f>CSO!H158</f>
        <v>3000</v>
      </c>
      <c r="AH138" s="6">
        <f>CSO!I158</f>
        <v>3000</v>
      </c>
      <c r="AI138" s="6">
        <f>CSO!J158</f>
        <v>3000</v>
      </c>
      <c r="AJ138" s="6">
        <f>CSO!K158</f>
        <v>3000</v>
      </c>
      <c r="AK138" s="6">
        <f>CSO!L158</f>
        <v>3000</v>
      </c>
      <c r="AL138" s="6">
        <f>CSO!M158</f>
        <v>3000</v>
      </c>
      <c r="AM138" s="6">
        <f>CSO!N158</f>
        <v>3000</v>
      </c>
      <c r="AN138" s="6">
        <f>CSO!O158</f>
        <v>3000</v>
      </c>
      <c r="AO138" s="6">
        <f>CSO!P158</f>
        <v>3000</v>
      </c>
      <c r="AP138"/>
    </row>
    <row r="139" spans="1:42" s="31" customFormat="1" hidden="1" outlineLevel="1" x14ac:dyDescent="0.25">
      <c r="A139" s="100">
        <v>6651</v>
      </c>
      <c r="B139" s="18" t="s">
        <v>767</v>
      </c>
      <c r="D139" s="154">
        <f t="shared" si="39"/>
        <v>2000</v>
      </c>
      <c r="E139" s="154">
        <f t="shared" si="28"/>
        <v>2000</v>
      </c>
      <c r="F139" s="154">
        <f t="shared" si="29"/>
        <v>2000</v>
      </c>
      <c r="G139" s="154">
        <f t="shared" si="30"/>
        <v>2000</v>
      </c>
      <c r="H139" s="154">
        <f t="shared" si="31"/>
        <v>2000</v>
      </c>
      <c r="I139" s="154">
        <f t="shared" si="32"/>
        <v>2000</v>
      </c>
      <c r="J139" s="154">
        <f t="shared" si="33"/>
        <v>2000</v>
      </c>
      <c r="K139" s="154">
        <f t="shared" si="34"/>
        <v>2000</v>
      </c>
      <c r="L139" s="154">
        <f t="shared" si="35"/>
        <v>2000</v>
      </c>
      <c r="M139" s="154">
        <f t="shared" si="36"/>
        <v>2000</v>
      </c>
      <c r="N139" s="154">
        <f t="shared" si="37"/>
        <v>2000</v>
      </c>
      <c r="O139" s="154">
        <f t="shared" si="38"/>
        <v>2000</v>
      </c>
      <c r="Q139" s="59">
        <f>'School Rollup'!D139</f>
        <v>0</v>
      </c>
      <c r="R139" s="59">
        <f>'School Rollup'!E139</f>
        <v>0</v>
      </c>
      <c r="S139" s="59">
        <f>'School Rollup'!F139</f>
        <v>0</v>
      </c>
      <c r="T139" s="59">
        <f>'School Rollup'!G139</f>
        <v>0</v>
      </c>
      <c r="U139" s="59">
        <f>'School Rollup'!H139</f>
        <v>0</v>
      </c>
      <c r="V139" s="59">
        <f>'School Rollup'!I139</f>
        <v>0</v>
      </c>
      <c r="W139" s="59">
        <f>'School Rollup'!J139</f>
        <v>0</v>
      </c>
      <c r="X139" s="59">
        <f>'School Rollup'!K139</f>
        <v>0</v>
      </c>
      <c r="Y139" s="59">
        <f>'School Rollup'!L139</f>
        <v>0</v>
      </c>
      <c r="Z139" s="59">
        <f>'School Rollup'!M139</f>
        <v>0</v>
      </c>
      <c r="AA139" s="59">
        <f>'School Rollup'!N139</f>
        <v>0</v>
      </c>
      <c r="AB139" s="59">
        <f>'School Rollup'!O139</f>
        <v>0</v>
      </c>
      <c r="AC139"/>
      <c r="AD139" s="6">
        <f>CSO!E159</f>
        <v>2000</v>
      </c>
      <c r="AE139" s="6">
        <f>CSO!F159</f>
        <v>2000</v>
      </c>
      <c r="AF139" s="6">
        <f>CSO!G159</f>
        <v>2000</v>
      </c>
      <c r="AG139" s="6">
        <f>CSO!H159</f>
        <v>2000</v>
      </c>
      <c r="AH139" s="6">
        <f>CSO!I159</f>
        <v>2000</v>
      </c>
      <c r="AI139" s="6">
        <f>CSO!J159</f>
        <v>2000</v>
      </c>
      <c r="AJ139" s="6">
        <f>CSO!K159</f>
        <v>2000</v>
      </c>
      <c r="AK139" s="6">
        <f>CSO!L159</f>
        <v>2000</v>
      </c>
      <c r="AL139" s="6">
        <f>CSO!M159</f>
        <v>2000</v>
      </c>
      <c r="AM139" s="6">
        <f>CSO!N159</f>
        <v>2000</v>
      </c>
      <c r="AN139" s="6">
        <f>CSO!O159</f>
        <v>2000</v>
      </c>
      <c r="AO139" s="6">
        <f>CSO!P159</f>
        <v>2000</v>
      </c>
      <c r="AP139"/>
    </row>
    <row r="140" spans="1:42" s="271" customFormat="1" collapsed="1" x14ac:dyDescent="0.25">
      <c r="A140" s="286">
        <v>651</v>
      </c>
      <c r="B140" s="275" t="s">
        <v>469</v>
      </c>
      <c r="D140" s="265">
        <f t="shared" si="39"/>
        <v>34720</v>
      </c>
      <c r="E140" s="265">
        <f t="shared" si="28"/>
        <v>22720</v>
      </c>
      <c r="F140" s="265">
        <f t="shared" si="29"/>
        <v>22720</v>
      </c>
      <c r="G140" s="265">
        <f t="shared" si="30"/>
        <v>22720</v>
      </c>
      <c r="H140" s="265">
        <f t="shared" si="31"/>
        <v>22720</v>
      </c>
      <c r="I140" s="265">
        <f t="shared" si="32"/>
        <v>22720</v>
      </c>
      <c r="J140" s="265">
        <f t="shared" si="33"/>
        <v>22720</v>
      </c>
      <c r="K140" s="265">
        <f t="shared" si="34"/>
        <v>22720</v>
      </c>
      <c r="L140" s="265">
        <f t="shared" si="35"/>
        <v>22720</v>
      </c>
      <c r="M140" s="265">
        <f t="shared" si="36"/>
        <v>22720</v>
      </c>
      <c r="N140" s="265">
        <f t="shared" si="37"/>
        <v>22720</v>
      </c>
      <c r="O140" s="265">
        <f t="shared" si="38"/>
        <v>22720</v>
      </c>
      <c r="Q140" s="266">
        <f>'School Rollup'!D140</f>
        <v>12000</v>
      </c>
      <c r="R140" s="266">
        <f>'School Rollup'!E140</f>
        <v>0</v>
      </c>
      <c r="S140" s="266">
        <f>'School Rollup'!F140</f>
        <v>0</v>
      </c>
      <c r="T140" s="266">
        <f>'School Rollup'!G140</f>
        <v>0</v>
      </c>
      <c r="U140" s="266">
        <f>'School Rollup'!H140</f>
        <v>0</v>
      </c>
      <c r="V140" s="266">
        <f>'School Rollup'!I140</f>
        <v>0</v>
      </c>
      <c r="W140" s="266">
        <f>'School Rollup'!J140</f>
        <v>0</v>
      </c>
      <c r="X140" s="266">
        <f>'School Rollup'!K140</f>
        <v>0</v>
      </c>
      <c r="Y140" s="266">
        <f>'School Rollup'!L140</f>
        <v>0</v>
      </c>
      <c r="Z140" s="266">
        <f>'School Rollup'!M140</f>
        <v>0</v>
      </c>
      <c r="AA140" s="266">
        <f>'School Rollup'!N140</f>
        <v>0</v>
      </c>
      <c r="AB140" s="266">
        <f>'School Rollup'!O140</f>
        <v>0</v>
      </c>
      <c r="AC140" s="267"/>
      <c r="AD140" s="268">
        <f>CSO!E160</f>
        <v>22720</v>
      </c>
      <c r="AE140" s="268">
        <f>CSO!F160</f>
        <v>22720</v>
      </c>
      <c r="AF140" s="268">
        <f>CSO!G160</f>
        <v>22720</v>
      </c>
      <c r="AG140" s="268">
        <f>CSO!H160</f>
        <v>22720</v>
      </c>
      <c r="AH140" s="268">
        <f>CSO!I160</f>
        <v>22720</v>
      </c>
      <c r="AI140" s="268">
        <f>CSO!J160</f>
        <v>22720</v>
      </c>
      <c r="AJ140" s="268">
        <f>CSO!K160</f>
        <v>22720</v>
      </c>
      <c r="AK140" s="268">
        <f>CSO!L160</f>
        <v>22720</v>
      </c>
      <c r="AL140" s="268">
        <f>CSO!M160</f>
        <v>22720</v>
      </c>
      <c r="AM140" s="268">
        <f>CSO!N160</f>
        <v>22720</v>
      </c>
      <c r="AN140" s="268">
        <f>CSO!O160</f>
        <v>22720</v>
      </c>
      <c r="AO140" s="268">
        <f>CSO!P160</f>
        <v>22720</v>
      </c>
      <c r="AP140" s="267"/>
    </row>
    <row r="141" spans="1:42" s="31" customFormat="1" hidden="1" outlineLevel="1" x14ac:dyDescent="0.25">
      <c r="A141" s="100">
        <v>6730</v>
      </c>
      <c r="B141" s="18" t="s">
        <v>499</v>
      </c>
      <c r="D141" s="154">
        <f t="shared" si="39"/>
        <v>28000</v>
      </c>
      <c r="E141" s="154">
        <f t="shared" si="28"/>
        <v>47100</v>
      </c>
      <c r="F141" s="154">
        <f t="shared" si="29"/>
        <v>4500</v>
      </c>
      <c r="G141" s="154">
        <f t="shared" si="30"/>
        <v>0</v>
      </c>
      <c r="H141" s="154">
        <f t="shared" si="31"/>
        <v>6500</v>
      </c>
      <c r="I141" s="154">
        <f t="shared" si="32"/>
        <v>52600</v>
      </c>
      <c r="J141" s="154">
        <f t="shared" si="33"/>
        <v>8500</v>
      </c>
      <c r="K141" s="154">
        <f t="shared" si="34"/>
        <v>0</v>
      </c>
      <c r="L141" s="154">
        <f t="shared" si="35"/>
        <v>8000</v>
      </c>
      <c r="M141" s="154">
        <f t="shared" si="36"/>
        <v>58600</v>
      </c>
      <c r="N141" s="154">
        <f t="shared" si="37"/>
        <v>10000</v>
      </c>
      <c r="O141" s="154">
        <f t="shared" si="38"/>
        <v>0</v>
      </c>
      <c r="Q141" s="59">
        <f>'School Rollup'!D141</f>
        <v>28000</v>
      </c>
      <c r="R141" s="59">
        <f>'School Rollup'!E141</f>
        <v>37500</v>
      </c>
      <c r="S141" s="59">
        <f>'School Rollup'!F141</f>
        <v>4500</v>
      </c>
      <c r="T141" s="59">
        <f>'School Rollup'!G141</f>
        <v>0</v>
      </c>
      <c r="U141" s="59">
        <f>'School Rollup'!H141</f>
        <v>6500</v>
      </c>
      <c r="V141" s="59">
        <f>'School Rollup'!I141</f>
        <v>43000</v>
      </c>
      <c r="W141" s="59">
        <f>'School Rollup'!J141</f>
        <v>8500</v>
      </c>
      <c r="X141" s="59">
        <f>'School Rollup'!K141</f>
        <v>0</v>
      </c>
      <c r="Y141" s="59">
        <f>'School Rollup'!L141</f>
        <v>8000</v>
      </c>
      <c r="Z141" s="59">
        <f>'School Rollup'!M141</f>
        <v>49000</v>
      </c>
      <c r="AA141" s="59">
        <f>'School Rollup'!N141</f>
        <v>10000</v>
      </c>
      <c r="AB141" s="59">
        <f>'School Rollup'!O141</f>
        <v>0</v>
      </c>
      <c r="AC141"/>
      <c r="AD141" s="6">
        <f>CSO!E161</f>
        <v>0</v>
      </c>
      <c r="AE141" s="6">
        <f>CSO!F161</f>
        <v>9600</v>
      </c>
      <c r="AF141" s="6">
        <f>CSO!G161</f>
        <v>0</v>
      </c>
      <c r="AG141" s="6">
        <f>CSO!H161</f>
        <v>0</v>
      </c>
      <c r="AH141" s="6">
        <f>CSO!I161</f>
        <v>0</v>
      </c>
      <c r="AI141" s="6">
        <f>CSO!J161</f>
        <v>9600</v>
      </c>
      <c r="AJ141" s="6">
        <f>CSO!K161</f>
        <v>0</v>
      </c>
      <c r="AK141" s="6">
        <f>CSO!L161</f>
        <v>0</v>
      </c>
      <c r="AL141" s="6">
        <f>CSO!M161</f>
        <v>0</v>
      </c>
      <c r="AM141" s="6">
        <f>CSO!N161</f>
        <v>9600</v>
      </c>
      <c r="AN141" s="6">
        <f>CSO!O161</f>
        <v>0</v>
      </c>
      <c r="AO141" s="6">
        <f>CSO!P161</f>
        <v>0</v>
      </c>
      <c r="AP141"/>
    </row>
    <row r="142" spans="1:42" s="31" customFormat="1" hidden="1" outlineLevel="1" x14ac:dyDescent="0.25">
      <c r="A142" s="100">
        <v>6730</v>
      </c>
      <c r="B142" s="18" t="s">
        <v>500</v>
      </c>
      <c r="D142" s="154">
        <f t="shared" si="39"/>
        <v>12000</v>
      </c>
      <c r="E142" s="154">
        <f t="shared" si="28"/>
        <v>0</v>
      </c>
      <c r="F142" s="154">
        <f t="shared" si="29"/>
        <v>0</v>
      </c>
      <c r="G142" s="154">
        <f t="shared" si="30"/>
        <v>0</v>
      </c>
      <c r="H142" s="154">
        <f t="shared" si="31"/>
        <v>20000</v>
      </c>
      <c r="I142" s="154">
        <f t="shared" si="32"/>
        <v>5000</v>
      </c>
      <c r="J142" s="154">
        <f t="shared" si="33"/>
        <v>5000</v>
      </c>
      <c r="K142" s="154">
        <f t="shared" si="34"/>
        <v>0</v>
      </c>
      <c r="L142" s="154">
        <f t="shared" si="35"/>
        <v>0</v>
      </c>
      <c r="M142" s="154">
        <f t="shared" si="36"/>
        <v>0</v>
      </c>
      <c r="N142" s="154">
        <f t="shared" si="37"/>
        <v>20000</v>
      </c>
      <c r="O142" s="154">
        <f t="shared" si="38"/>
        <v>0</v>
      </c>
      <c r="Q142" s="59">
        <f>'School Rollup'!D142</f>
        <v>12000</v>
      </c>
      <c r="R142" s="59">
        <f>'School Rollup'!E142</f>
        <v>0</v>
      </c>
      <c r="S142" s="59">
        <f>'School Rollup'!F142</f>
        <v>0</v>
      </c>
      <c r="T142" s="59">
        <f>'School Rollup'!G142</f>
        <v>0</v>
      </c>
      <c r="U142" s="59">
        <f>'School Rollup'!H142</f>
        <v>20000</v>
      </c>
      <c r="V142" s="59">
        <f>'School Rollup'!I142</f>
        <v>5000</v>
      </c>
      <c r="W142" s="59">
        <f>'School Rollup'!J142</f>
        <v>5000</v>
      </c>
      <c r="X142" s="59">
        <f>'School Rollup'!K142</f>
        <v>0</v>
      </c>
      <c r="Y142" s="59">
        <f>'School Rollup'!L142</f>
        <v>0</v>
      </c>
      <c r="Z142" s="59">
        <f>'School Rollup'!M142</f>
        <v>0</v>
      </c>
      <c r="AA142" s="59">
        <f>'School Rollup'!N142</f>
        <v>20000</v>
      </c>
      <c r="AB142" s="59">
        <f>'School Rollup'!O142</f>
        <v>0</v>
      </c>
      <c r="AC142"/>
      <c r="AD142" s="6">
        <f>CSO!E162</f>
        <v>0</v>
      </c>
      <c r="AE142" s="6">
        <f>CSO!F162</f>
        <v>0</v>
      </c>
      <c r="AF142" s="6">
        <f>CSO!G162</f>
        <v>0</v>
      </c>
      <c r="AG142" s="6">
        <f>CSO!H162</f>
        <v>0</v>
      </c>
      <c r="AH142" s="6">
        <f>CSO!I162</f>
        <v>0</v>
      </c>
      <c r="AI142" s="6">
        <f>CSO!J162</f>
        <v>0</v>
      </c>
      <c r="AJ142" s="6">
        <f>CSO!K162</f>
        <v>0</v>
      </c>
      <c r="AK142" s="6">
        <f>CSO!L162</f>
        <v>0</v>
      </c>
      <c r="AL142" s="6">
        <f>CSO!M162</f>
        <v>0</v>
      </c>
      <c r="AM142" s="6">
        <f>CSO!N162</f>
        <v>0</v>
      </c>
      <c r="AN142" s="6">
        <f>CSO!O162</f>
        <v>0</v>
      </c>
      <c r="AO142" s="6">
        <f>CSO!P162</f>
        <v>0</v>
      </c>
      <c r="AP142"/>
    </row>
    <row r="143" spans="1:42" s="31" customFormat="1" hidden="1" outlineLevel="1" x14ac:dyDescent="0.25">
      <c r="A143" s="100">
        <v>6730</v>
      </c>
      <c r="B143" s="18" t="s">
        <v>318</v>
      </c>
      <c r="D143" s="154">
        <f t="shared" si="39"/>
        <v>5000</v>
      </c>
      <c r="E143" s="154">
        <f t="shared" si="28"/>
        <v>0</v>
      </c>
      <c r="F143" s="154">
        <f t="shared" si="29"/>
        <v>0</v>
      </c>
      <c r="G143" s="154">
        <f t="shared" si="30"/>
        <v>12000</v>
      </c>
      <c r="H143" s="154">
        <f t="shared" si="31"/>
        <v>3000</v>
      </c>
      <c r="I143" s="154">
        <f t="shared" si="32"/>
        <v>3000</v>
      </c>
      <c r="J143" s="154">
        <f t="shared" si="33"/>
        <v>0</v>
      </c>
      <c r="K143" s="154">
        <f t="shared" si="34"/>
        <v>0</v>
      </c>
      <c r="L143" s="154">
        <f t="shared" si="35"/>
        <v>0</v>
      </c>
      <c r="M143" s="154">
        <f t="shared" si="36"/>
        <v>12000</v>
      </c>
      <c r="N143" s="154">
        <f t="shared" si="37"/>
        <v>6000</v>
      </c>
      <c r="O143" s="154">
        <f t="shared" si="38"/>
        <v>0</v>
      </c>
      <c r="Q143" s="59">
        <f>'School Rollup'!D143</f>
        <v>5000</v>
      </c>
      <c r="R143" s="59">
        <f>'School Rollup'!E143</f>
        <v>0</v>
      </c>
      <c r="S143" s="59">
        <f>'School Rollup'!F143</f>
        <v>0</v>
      </c>
      <c r="T143" s="59">
        <f>'School Rollup'!G143</f>
        <v>12000</v>
      </c>
      <c r="U143" s="59">
        <f>'School Rollup'!H143</f>
        <v>3000</v>
      </c>
      <c r="V143" s="59">
        <f>'School Rollup'!I143</f>
        <v>3000</v>
      </c>
      <c r="W143" s="59">
        <f>'School Rollup'!J143</f>
        <v>0</v>
      </c>
      <c r="X143" s="59">
        <f>'School Rollup'!K143</f>
        <v>0</v>
      </c>
      <c r="Y143" s="59">
        <f>'School Rollup'!L143</f>
        <v>0</v>
      </c>
      <c r="Z143" s="59">
        <f>'School Rollup'!M143</f>
        <v>12000</v>
      </c>
      <c r="AA143" s="59">
        <f>'School Rollup'!N143</f>
        <v>6000</v>
      </c>
      <c r="AB143" s="59">
        <f>'School Rollup'!O143</f>
        <v>0</v>
      </c>
      <c r="AC143"/>
      <c r="AD143" s="6">
        <f>CSO!E163</f>
        <v>0</v>
      </c>
      <c r="AE143" s="6">
        <f>CSO!F163</f>
        <v>0</v>
      </c>
      <c r="AF143" s="6">
        <f>CSO!G163</f>
        <v>0</v>
      </c>
      <c r="AG143" s="6">
        <f>CSO!H163</f>
        <v>0</v>
      </c>
      <c r="AH143" s="6">
        <f>CSO!I163</f>
        <v>0</v>
      </c>
      <c r="AI143" s="6">
        <f>CSO!J163</f>
        <v>0</v>
      </c>
      <c r="AJ143" s="6">
        <f>CSO!K163</f>
        <v>0</v>
      </c>
      <c r="AK143" s="6">
        <f>CSO!L163</f>
        <v>0</v>
      </c>
      <c r="AL143" s="6">
        <f>CSO!M163</f>
        <v>0</v>
      </c>
      <c r="AM143" s="6">
        <f>CSO!N163</f>
        <v>0</v>
      </c>
      <c r="AN143" s="6">
        <f>CSO!O163</f>
        <v>0</v>
      </c>
      <c r="AO143" s="6">
        <f>CSO!P163</f>
        <v>0</v>
      </c>
      <c r="AP143"/>
    </row>
    <row r="144" spans="1:42" s="271" customFormat="1" collapsed="1" x14ac:dyDescent="0.25">
      <c r="A144" s="286">
        <v>700</v>
      </c>
      <c r="B144" s="275" t="s">
        <v>501</v>
      </c>
      <c r="D144" s="265">
        <f t="shared" si="39"/>
        <v>45000</v>
      </c>
      <c r="E144" s="265">
        <f t="shared" si="28"/>
        <v>47100</v>
      </c>
      <c r="F144" s="265">
        <f t="shared" si="29"/>
        <v>4500</v>
      </c>
      <c r="G144" s="265">
        <f t="shared" si="30"/>
        <v>12000</v>
      </c>
      <c r="H144" s="265">
        <f t="shared" si="31"/>
        <v>29500</v>
      </c>
      <c r="I144" s="265">
        <f t="shared" si="32"/>
        <v>60600</v>
      </c>
      <c r="J144" s="265">
        <f t="shared" si="33"/>
        <v>13500</v>
      </c>
      <c r="K144" s="265">
        <f t="shared" si="34"/>
        <v>0</v>
      </c>
      <c r="L144" s="265">
        <f t="shared" si="35"/>
        <v>8000</v>
      </c>
      <c r="M144" s="265">
        <f t="shared" si="36"/>
        <v>70600</v>
      </c>
      <c r="N144" s="265">
        <f t="shared" si="37"/>
        <v>36000</v>
      </c>
      <c r="O144" s="265">
        <f t="shared" si="38"/>
        <v>0</v>
      </c>
      <c r="Q144" s="266">
        <f>'School Rollup'!D144</f>
        <v>45000</v>
      </c>
      <c r="R144" s="266">
        <f>'School Rollup'!E144</f>
        <v>37500</v>
      </c>
      <c r="S144" s="266">
        <f>'School Rollup'!F144</f>
        <v>4500</v>
      </c>
      <c r="T144" s="266">
        <f>'School Rollup'!G144</f>
        <v>12000</v>
      </c>
      <c r="U144" s="266">
        <f>'School Rollup'!H144</f>
        <v>29500</v>
      </c>
      <c r="V144" s="266">
        <f>'School Rollup'!I144</f>
        <v>51000</v>
      </c>
      <c r="W144" s="266">
        <f>'School Rollup'!J144</f>
        <v>13500</v>
      </c>
      <c r="X144" s="266">
        <f>'School Rollup'!K144</f>
        <v>0</v>
      </c>
      <c r="Y144" s="266">
        <f>'School Rollup'!L144</f>
        <v>8000</v>
      </c>
      <c r="Z144" s="266">
        <f>'School Rollup'!M144</f>
        <v>61000</v>
      </c>
      <c r="AA144" s="266">
        <f>'School Rollup'!N144</f>
        <v>36000</v>
      </c>
      <c r="AB144" s="266">
        <f>'School Rollup'!O144</f>
        <v>0</v>
      </c>
      <c r="AC144" s="267"/>
      <c r="AD144" s="268">
        <f>CSO!E164</f>
        <v>0</v>
      </c>
      <c r="AE144" s="268">
        <f>CSO!F164</f>
        <v>9600</v>
      </c>
      <c r="AF144" s="268">
        <f>CSO!G164</f>
        <v>0</v>
      </c>
      <c r="AG144" s="268">
        <f>CSO!H164</f>
        <v>0</v>
      </c>
      <c r="AH144" s="268">
        <f>CSO!I164</f>
        <v>0</v>
      </c>
      <c r="AI144" s="268">
        <f>CSO!J164</f>
        <v>9600</v>
      </c>
      <c r="AJ144" s="268">
        <f>CSO!K164</f>
        <v>0</v>
      </c>
      <c r="AK144" s="268">
        <f>CSO!L164</f>
        <v>0</v>
      </c>
      <c r="AL144" s="268">
        <f>CSO!M164</f>
        <v>0</v>
      </c>
      <c r="AM144" s="268">
        <f>CSO!N164</f>
        <v>9600</v>
      </c>
      <c r="AN144" s="268">
        <f>CSO!O164</f>
        <v>0</v>
      </c>
      <c r="AO144" s="268">
        <f>CSO!P164</f>
        <v>0</v>
      </c>
      <c r="AP144" s="267"/>
    </row>
    <row r="145" spans="1:42" s="31" customFormat="1" hidden="1" outlineLevel="1" x14ac:dyDescent="0.25">
      <c r="A145" s="100">
        <v>6810</v>
      </c>
      <c r="B145" s="18" t="s">
        <v>503</v>
      </c>
      <c r="D145" s="154">
        <f t="shared" si="39"/>
        <v>3750</v>
      </c>
      <c r="E145" s="154">
        <f t="shared" si="28"/>
        <v>4275</v>
      </c>
      <c r="F145" s="154">
        <f t="shared" si="29"/>
        <v>5000</v>
      </c>
      <c r="G145" s="154">
        <f t="shared" si="30"/>
        <v>5350</v>
      </c>
      <c r="H145" s="154">
        <f t="shared" si="31"/>
        <v>5600</v>
      </c>
      <c r="I145" s="154">
        <f t="shared" si="32"/>
        <v>5800</v>
      </c>
      <c r="J145" s="154">
        <f t="shared" si="33"/>
        <v>6010</v>
      </c>
      <c r="K145" s="154">
        <f t="shared" si="34"/>
        <v>6220</v>
      </c>
      <c r="L145" s="154">
        <f t="shared" si="35"/>
        <v>6455</v>
      </c>
      <c r="M145" s="154">
        <f t="shared" si="36"/>
        <v>6690</v>
      </c>
      <c r="N145" s="154">
        <f t="shared" si="37"/>
        <v>6935</v>
      </c>
      <c r="O145" s="154">
        <f t="shared" si="38"/>
        <v>7190</v>
      </c>
      <c r="Q145" s="59">
        <f>'School Rollup'!D145</f>
        <v>3750</v>
      </c>
      <c r="R145" s="59">
        <f>'School Rollup'!E145</f>
        <v>4275</v>
      </c>
      <c r="S145" s="59">
        <f>'School Rollup'!F145</f>
        <v>5000</v>
      </c>
      <c r="T145" s="59">
        <f>'School Rollup'!G145</f>
        <v>5350</v>
      </c>
      <c r="U145" s="59">
        <f>'School Rollup'!H145</f>
        <v>5600</v>
      </c>
      <c r="V145" s="59">
        <f>'School Rollup'!I145</f>
        <v>5800</v>
      </c>
      <c r="W145" s="59">
        <f>'School Rollup'!J145</f>
        <v>6010</v>
      </c>
      <c r="X145" s="59">
        <f>'School Rollup'!K145</f>
        <v>6220</v>
      </c>
      <c r="Y145" s="59">
        <f>'School Rollup'!L145</f>
        <v>6455</v>
      </c>
      <c r="Z145" s="59">
        <f>'School Rollup'!M145</f>
        <v>6690</v>
      </c>
      <c r="AA145" s="59">
        <f>'School Rollup'!N145</f>
        <v>6935</v>
      </c>
      <c r="AB145" s="59">
        <f>'School Rollup'!O145</f>
        <v>7190</v>
      </c>
      <c r="AC145"/>
      <c r="AD145" s="6">
        <f>CSO!E165</f>
        <v>0</v>
      </c>
      <c r="AE145" s="6">
        <f>CSO!F165</f>
        <v>0</v>
      </c>
      <c r="AF145" s="6">
        <f>CSO!G165</f>
        <v>0</v>
      </c>
      <c r="AG145" s="6">
        <f>CSO!H165</f>
        <v>0</v>
      </c>
      <c r="AH145" s="6">
        <f>CSO!I165</f>
        <v>0</v>
      </c>
      <c r="AI145" s="6">
        <f>CSO!J165</f>
        <v>0</v>
      </c>
      <c r="AJ145" s="6">
        <f>CSO!K165</f>
        <v>0</v>
      </c>
      <c r="AK145" s="6">
        <f>CSO!L165</f>
        <v>0</v>
      </c>
      <c r="AL145" s="6">
        <f>CSO!M165</f>
        <v>0</v>
      </c>
      <c r="AM145" s="6">
        <f>CSO!N165</f>
        <v>0</v>
      </c>
      <c r="AN145" s="6">
        <f>CSO!O165</f>
        <v>0</v>
      </c>
      <c r="AO145" s="6">
        <f>CSO!P165</f>
        <v>0</v>
      </c>
      <c r="AP145"/>
    </row>
    <row r="146" spans="1:42" s="31" customFormat="1" hidden="1" outlineLevel="1" x14ac:dyDescent="0.25">
      <c r="A146" s="100">
        <v>6810</v>
      </c>
      <c r="B146" s="18" t="s">
        <v>504</v>
      </c>
      <c r="D146" s="154">
        <f t="shared" si="39"/>
        <v>3750</v>
      </c>
      <c r="E146" s="154">
        <f t="shared" si="28"/>
        <v>4275</v>
      </c>
      <c r="F146" s="154">
        <f t="shared" si="29"/>
        <v>5000</v>
      </c>
      <c r="G146" s="154">
        <f t="shared" si="30"/>
        <v>5350</v>
      </c>
      <c r="H146" s="154">
        <f t="shared" si="31"/>
        <v>5600</v>
      </c>
      <c r="I146" s="154">
        <f t="shared" si="32"/>
        <v>5800</v>
      </c>
      <c r="J146" s="154">
        <f t="shared" si="33"/>
        <v>6010</v>
      </c>
      <c r="K146" s="154">
        <f t="shared" si="34"/>
        <v>6220</v>
      </c>
      <c r="L146" s="154">
        <f t="shared" si="35"/>
        <v>6455</v>
      </c>
      <c r="M146" s="154">
        <f t="shared" si="36"/>
        <v>6690</v>
      </c>
      <c r="N146" s="154">
        <f t="shared" si="37"/>
        <v>6935</v>
      </c>
      <c r="O146" s="154">
        <f t="shared" si="38"/>
        <v>7190</v>
      </c>
      <c r="Q146" s="59">
        <f>'School Rollup'!D146</f>
        <v>3750</v>
      </c>
      <c r="R146" s="59">
        <f>'School Rollup'!E146</f>
        <v>4275</v>
      </c>
      <c r="S146" s="59">
        <f>'School Rollup'!F146</f>
        <v>5000</v>
      </c>
      <c r="T146" s="59">
        <f>'School Rollup'!G146</f>
        <v>5350</v>
      </c>
      <c r="U146" s="59">
        <f>'School Rollup'!H146</f>
        <v>5600</v>
      </c>
      <c r="V146" s="59">
        <f>'School Rollup'!I146</f>
        <v>5800</v>
      </c>
      <c r="W146" s="59">
        <f>'School Rollup'!J146</f>
        <v>6010</v>
      </c>
      <c r="X146" s="59">
        <f>'School Rollup'!K146</f>
        <v>6220</v>
      </c>
      <c r="Y146" s="59">
        <f>'School Rollup'!L146</f>
        <v>6455</v>
      </c>
      <c r="Z146" s="59">
        <f>'School Rollup'!M146</f>
        <v>6690</v>
      </c>
      <c r="AA146" s="59">
        <f>'School Rollup'!N146</f>
        <v>6935</v>
      </c>
      <c r="AB146" s="59">
        <f>'School Rollup'!O146</f>
        <v>7190</v>
      </c>
      <c r="AC146"/>
      <c r="AD146" s="6">
        <f>CSO!E166</f>
        <v>0</v>
      </c>
      <c r="AE146" s="6">
        <f>CSO!F166</f>
        <v>0</v>
      </c>
      <c r="AF146" s="6">
        <f>CSO!G166</f>
        <v>0</v>
      </c>
      <c r="AG146" s="6">
        <f>CSO!H166</f>
        <v>0</v>
      </c>
      <c r="AH146" s="6">
        <f>CSO!I166</f>
        <v>0</v>
      </c>
      <c r="AI146" s="6">
        <f>CSO!J166</f>
        <v>0</v>
      </c>
      <c r="AJ146" s="6">
        <f>CSO!K166</f>
        <v>0</v>
      </c>
      <c r="AK146" s="6">
        <f>CSO!L166</f>
        <v>0</v>
      </c>
      <c r="AL146" s="6">
        <f>CSO!M166</f>
        <v>0</v>
      </c>
      <c r="AM146" s="6">
        <f>CSO!N166</f>
        <v>0</v>
      </c>
      <c r="AN146" s="6">
        <f>CSO!O166</f>
        <v>0</v>
      </c>
      <c r="AO146" s="6">
        <f>CSO!P166</f>
        <v>0</v>
      </c>
      <c r="AP146"/>
    </row>
    <row r="147" spans="1:42" s="31" customFormat="1" hidden="1" outlineLevel="1" x14ac:dyDescent="0.25">
      <c r="A147" s="100">
        <v>6810</v>
      </c>
      <c r="B147" s="18" t="s">
        <v>505</v>
      </c>
      <c r="D147" s="154">
        <f t="shared" si="39"/>
        <v>250</v>
      </c>
      <c r="E147" s="154">
        <f t="shared" si="28"/>
        <v>250</v>
      </c>
      <c r="F147" s="154">
        <f t="shared" si="29"/>
        <v>300</v>
      </c>
      <c r="G147" s="154">
        <f t="shared" si="30"/>
        <v>300</v>
      </c>
      <c r="H147" s="154">
        <f t="shared" si="31"/>
        <v>300</v>
      </c>
      <c r="I147" s="154">
        <f t="shared" si="32"/>
        <v>300</v>
      </c>
      <c r="J147" s="154">
        <f t="shared" si="33"/>
        <v>300</v>
      </c>
      <c r="K147" s="154">
        <f t="shared" si="34"/>
        <v>300</v>
      </c>
      <c r="L147" s="154">
        <f t="shared" si="35"/>
        <v>300</v>
      </c>
      <c r="M147" s="154">
        <f t="shared" si="36"/>
        <v>300</v>
      </c>
      <c r="N147" s="154">
        <f t="shared" si="37"/>
        <v>300</v>
      </c>
      <c r="O147" s="154">
        <f t="shared" si="38"/>
        <v>300</v>
      </c>
      <c r="Q147" s="59">
        <f>'School Rollup'!D147</f>
        <v>250</v>
      </c>
      <c r="R147" s="59">
        <f>'School Rollup'!E147</f>
        <v>250</v>
      </c>
      <c r="S147" s="59">
        <f>'School Rollup'!F147</f>
        <v>300</v>
      </c>
      <c r="T147" s="59">
        <f>'School Rollup'!G147</f>
        <v>300</v>
      </c>
      <c r="U147" s="59">
        <f>'School Rollup'!H147</f>
        <v>300</v>
      </c>
      <c r="V147" s="59">
        <f>'School Rollup'!I147</f>
        <v>300</v>
      </c>
      <c r="W147" s="59">
        <f>'School Rollup'!J147</f>
        <v>300</v>
      </c>
      <c r="X147" s="59">
        <f>'School Rollup'!K147</f>
        <v>300</v>
      </c>
      <c r="Y147" s="59">
        <f>'School Rollup'!L147</f>
        <v>300</v>
      </c>
      <c r="Z147" s="59">
        <f>'School Rollup'!M147</f>
        <v>300</v>
      </c>
      <c r="AA147" s="59">
        <f>'School Rollup'!N147</f>
        <v>300</v>
      </c>
      <c r="AB147" s="59">
        <f>'School Rollup'!O147</f>
        <v>300</v>
      </c>
      <c r="AC147"/>
      <c r="AD147" s="6">
        <f>CSO!E167</f>
        <v>0</v>
      </c>
      <c r="AE147" s="6">
        <f>CSO!F167</f>
        <v>0</v>
      </c>
      <c r="AF147" s="6">
        <f>CSO!G167</f>
        <v>0</v>
      </c>
      <c r="AG147" s="6">
        <f>CSO!H167</f>
        <v>0</v>
      </c>
      <c r="AH147" s="6">
        <f>CSO!I167</f>
        <v>0</v>
      </c>
      <c r="AI147" s="6">
        <f>CSO!J167</f>
        <v>0</v>
      </c>
      <c r="AJ147" s="6">
        <f>CSO!K167</f>
        <v>0</v>
      </c>
      <c r="AK147" s="6">
        <f>CSO!L167</f>
        <v>0</v>
      </c>
      <c r="AL147" s="6">
        <f>CSO!M167</f>
        <v>0</v>
      </c>
      <c r="AM147" s="6">
        <f>CSO!N167</f>
        <v>0</v>
      </c>
      <c r="AN147" s="6">
        <f>CSO!O167</f>
        <v>0</v>
      </c>
      <c r="AO147" s="6">
        <f>CSO!P167</f>
        <v>0</v>
      </c>
      <c r="AP147"/>
    </row>
    <row r="148" spans="1:42" s="31" customFormat="1" hidden="1" outlineLevel="1" x14ac:dyDescent="0.25">
      <c r="A148" s="100">
        <v>6810</v>
      </c>
      <c r="B148" s="18" t="s">
        <v>506</v>
      </c>
      <c r="D148" s="154">
        <f t="shared" si="39"/>
        <v>250</v>
      </c>
      <c r="E148" s="154">
        <f t="shared" si="28"/>
        <v>250</v>
      </c>
      <c r="F148" s="154">
        <f t="shared" si="29"/>
        <v>250</v>
      </c>
      <c r="G148" s="154">
        <f t="shared" si="30"/>
        <v>250</v>
      </c>
      <c r="H148" s="154">
        <f t="shared" si="31"/>
        <v>250</v>
      </c>
      <c r="I148" s="154">
        <f t="shared" si="32"/>
        <v>250</v>
      </c>
      <c r="J148" s="154">
        <f t="shared" si="33"/>
        <v>250</v>
      </c>
      <c r="K148" s="154">
        <f t="shared" si="34"/>
        <v>250</v>
      </c>
      <c r="L148" s="154">
        <f t="shared" si="35"/>
        <v>250</v>
      </c>
      <c r="M148" s="154">
        <f t="shared" si="36"/>
        <v>250</v>
      </c>
      <c r="N148" s="154">
        <f t="shared" si="37"/>
        <v>250</v>
      </c>
      <c r="O148" s="154">
        <f t="shared" si="38"/>
        <v>250</v>
      </c>
      <c r="Q148" s="59">
        <f>'School Rollup'!D148</f>
        <v>0</v>
      </c>
      <c r="R148" s="59">
        <f>'School Rollup'!E148</f>
        <v>0</v>
      </c>
      <c r="S148" s="59">
        <f>'School Rollup'!F148</f>
        <v>0</v>
      </c>
      <c r="T148" s="59">
        <f>'School Rollup'!G148</f>
        <v>0</v>
      </c>
      <c r="U148" s="59">
        <f>'School Rollup'!H148</f>
        <v>0</v>
      </c>
      <c r="V148" s="59">
        <f>'School Rollup'!I148</f>
        <v>0</v>
      </c>
      <c r="W148" s="59">
        <f>'School Rollup'!J148</f>
        <v>0</v>
      </c>
      <c r="X148" s="59">
        <f>'School Rollup'!K148</f>
        <v>0</v>
      </c>
      <c r="Y148" s="59">
        <f>'School Rollup'!L148</f>
        <v>0</v>
      </c>
      <c r="Z148" s="59">
        <f>'School Rollup'!M148</f>
        <v>0</v>
      </c>
      <c r="AA148" s="59">
        <f>'School Rollup'!N148</f>
        <v>0</v>
      </c>
      <c r="AB148" s="59">
        <f>'School Rollup'!O148</f>
        <v>0</v>
      </c>
      <c r="AC148"/>
      <c r="AD148" s="6">
        <f>CSO!E168</f>
        <v>250</v>
      </c>
      <c r="AE148" s="6">
        <f>CSO!F168</f>
        <v>250</v>
      </c>
      <c r="AF148" s="6">
        <f>CSO!G168</f>
        <v>250</v>
      </c>
      <c r="AG148" s="6">
        <f>CSO!H168</f>
        <v>250</v>
      </c>
      <c r="AH148" s="6">
        <f>CSO!I168</f>
        <v>250</v>
      </c>
      <c r="AI148" s="6">
        <f>CSO!J168</f>
        <v>250</v>
      </c>
      <c r="AJ148" s="6">
        <f>CSO!K168</f>
        <v>250</v>
      </c>
      <c r="AK148" s="6">
        <f>CSO!L168</f>
        <v>250</v>
      </c>
      <c r="AL148" s="6">
        <f>CSO!M168</f>
        <v>250</v>
      </c>
      <c r="AM148" s="6">
        <f>CSO!N168</f>
        <v>250</v>
      </c>
      <c r="AN148" s="6">
        <f>CSO!O168</f>
        <v>250</v>
      </c>
      <c r="AO148" s="6">
        <f>CSO!P168</f>
        <v>250</v>
      </c>
      <c r="AP148"/>
    </row>
    <row r="149" spans="1:42" s="31" customFormat="1" hidden="1" outlineLevel="1" x14ac:dyDescent="0.25">
      <c r="A149" s="100">
        <v>6810</v>
      </c>
      <c r="B149" s="18" t="s">
        <v>507</v>
      </c>
      <c r="D149" s="154">
        <f t="shared" si="39"/>
        <v>250</v>
      </c>
      <c r="E149" s="154">
        <f t="shared" si="28"/>
        <v>250</v>
      </c>
      <c r="F149" s="154">
        <f t="shared" si="29"/>
        <v>250</v>
      </c>
      <c r="G149" s="154">
        <f t="shared" si="30"/>
        <v>250</v>
      </c>
      <c r="H149" s="154">
        <f t="shared" si="31"/>
        <v>250</v>
      </c>
      <c r="I149" s="154">
        <f t="shared" si="32"/>
        <v>250</v>
      </c>
      <c r="J149" s="154">
        <f t="shared" si="33"/>
        <v>250</v>
      </c>
      <c r="K149" s="154">
        <f t="shared" si="34"/>
        <v>250</v>
      </c>
      <c r="L149" s="154">
        <f t="shared" si="35"/>
        <v>250</v>
      </c>
      <c r="M149" s="154">
        <f t="shared" si="36"/>
        <v>250</v>
      </c>
      <c r="N149" s="154">
        <f t="shared" si="37"/>
        <v>250</v>
      </c>
      <c r="O149" s="154">
        <f t="shared" si="38"/>
        <v>250</v>
      </c>
      <c r="Q149" s="59">
        <f>'School Rollup'!D149</f>
        <v>0</v>
      </c>
      <c r="R149" s="59">
        <f>'School Rollup'!E149</f>
        <v>0</v>
      </c>
      <c r="S149" s="59">
        <f>'School Rollup'!F149</f>
        <v>0</v>
      </c>
      <c r="T149" s="59">
        <f>'School Rollup'!G149</f>
        <v>0</v>
      </c>
      <c r="U149" s="59">
        <f>'School Rollup'!H149</f>
        <v>0</v>
      </c>
      <c r="V149" s="59">
        <f>'School Rollup'!I149</f>
        <v>0</v>
      </c>
      <c r="W149" s="59">
        <f>'School Rollup'!J149</f>
        <v>0</v>
      </c>
      <c r="X149" s="59">
        <f>'School Rollup'!K149</f>
        <v>0</v>
      </c>
      <c r="Y149" s="59">
        <f>'School Rollup'!L149</f>
        <v>0</v>
      </c>
      <c r="Z149" s="59">
        <f>'School Rollup'!M149</f>
        <v>0</v>
      </c>
      <c r="AA149" s="59">
        <f>'School Rollup'!N149</f>
        <v>0</v>
      </c>
      <c r="AB149" s="59">
        <f>'School Rollup'!O149</f>
        <v>0</v>
      </c>
      <c r="AC149"/>
      <c r="AD149" s="6">
        <f>CSO!E169</f>
        <v>250</v>
      </c>
      <c r="AE149" s="6">
        <f>CSO!F169</f>
        <v>250</v>
      </c>
      <c r="AF149" s="6">
        <f>CSO!G169</f>
        <v>250</v>
      </c>
      <c r="AG149" s="6">
        <f>CSO!H169</f>
        <v>250</v>
      </c>
      <c r="AH149" s="6">
        <f>CSO!I169</f>
        <v>250</v>
      </c>
      <c r="AI149" s="6">
        <f>CSO!J169</f>
        <v>250</v>
      </c>
      <c r="AJ149" s="6">
        <f>CSO!K169</f>
        <v>250</v>
      </c>
      <c r="AK149" s="6">
        <f>CSO!L169</f>
        <v>250</v>
      </c>
      <c r="AL149" s="6">
        <f>CSO!M169</f>
        <v>250</v>
      </c>
      <c r="AM149" s="6">
        <f>CSO!N169</f>
        <v>250</v>
      </c>
      <c r="AN149" s="6">
        <f>CSO!O169</f>
        <v>250</v>
      </c>
      <c r="AO149" s="6">
        <f>CSO!P169</f>
        <v>250</v>
      </c>
      <c r="AP149"/>
    </row>
    <row r="150" spans="1:42" s="31" customFormat="1" hidden="1" outlineLevel="1" x14ac:dyDescent="0.25">
      <c r="A150" s="100">
        <v>6810</v>
      </c>
      <c r="B150" s="18" t="s">
        <v>525</v>
      </c>
      <c r="D150" s="154">
        <f t="shared" si="39"/>
        <v>1500</v>
      </c>
      <c r="E150" s="154">
        <f t="shared" si="28"/>
        <v>1500</v>
      </c>
      <c r="F150" s="154">
        <f t="shared" si="29"/>
        <v>1500</v>
      </c>
      <c r="G150" s="154">
        <f t="shared" si="30"/>
        <v>1500</v>
      </c>
      <c r="H150" s="154">
        <f t="shared" si="31"/>
        <v>1500</v>
      </c>
      <c r="I150" s="154">
        <f t="shared" si="32"/>
        <v>1500</v>
      </c>
      <c r="J150" s="154">
        <f t="shared" si="33"/>
        <v>1500</v>
      </c>
      <c r="K150" s="154">
        <f t="shared" si="34"/>
        <v>1500</v>
      </c>
      <c r="L150" s="154">
        <f t="shared" si="35"/>
        <v>1500</v>
      </c>
      <c r="M150" s="154">
        <f t="shared" si="36"/>
        <v>1500</v>
      </c>
      <c r="N150" s="154">
        <f t="shared" si="37"/>
        <v>1500</v>
      </c>
      <c r="O150" s="154">
        <f t="shared" si="38"/>
        <v>1500</v>
      </c>
      <c r="Q150" s="59">
        <f>'School Rollup'!D150</f>
        <v>0</v>
      </c>
      <c r="R150" s="59">
        <f>'School Rollup'!E150</f>
        <v>0</v>
      </c>
      <c r="S150" s="59">
        <f>'School Rollup'!F150</f>
        <v>0</v>
      </c>
      <c r="T150" s="59">
        <f>'School Rollup'!G150</f>
        <v>0</v>
      </c>
      <c r="U150" s="59">
        <f>'School Rollup'!H150</f>
        <v>0</v>
      </c>
      <c r="V150" s="59">
        <f>'School Rollup'!I150</f>
        <v>0</v>
      </c>
      <c r="W150" s="59">
        <f>'School Rollup'!J150</f>
        <v>0</v>
      </c>
      <c r="X150" s="59">
        <f>'School Rollup'!K150</f>
        <v>0</v>
      </c>
      <c r="Y150" s="59">
        <f>'School Rollup'!L150</f>
        <v>0</v>
      </c>
      <c r="Z150" s="59">
        <f>'School Rollup'!M150</f>
        <v>0</v>
      </c>
      <c r="AA150" s="59">
        <f>'School Rollup'!N150</f>
        <v>0</v>
      </c>
      <c r="AB150" s="59">
        <f>'School Rollup'!O150</f>
        <v>0</v>
      </c>
      <c r="AC150"/>
      <c r="AD150" s="6">
        <f>CSO!E170</f>
        <v>1500</v>
      </c>
      <c r="AE150" s="6">
        <f>CSO!F170</f>
        <v>1500</v>
      </c>
      <c r="AF150" s="6">
        <f>CSO!G170</f>
        <v>1500</v>
      </c>
      <c r="AG150" s="6">
        <f>CSO!H170</f>
        <v>1500</v>
      </c>
      <c r="AH150" s="6">
        <f>CSO!I170</f>
        <v>1500</v>
      </c>
      <c r="AI150" s="6">
        <f>CSO!J170</f>
        <v>1500</v>
      </c>
      <c r="AJ150" s="6">
        <f>CSO!K170</f>
        <v>1500</v>
      </c>
      <c r="AK150" s="6">
        <f>CSO!L170</f>
        <v>1500</v>
      </c>
      <c r="AL150" s="6">
        <f>CSO!M170</f>
        <v>1500</v>
      </c>
      <c r="AM150" s="6">
        <f>CSO!N170</f>
        <v>1500</v>
      </c>
      <c r="AN150" s="6">
        <f>CSO!O170</f>
        <v>1500</v>
      </c>
      <c r="AO150" s="6">
        <f>CSO!P170</f>
        <v>1500</v>
      </c>
      <c r="AP150"/>
    </row>
    <row r="151" spans="1:42" s="31" customFormat="1" hidden="1" outlineLevel="1" x14ac:dyDescent="0.25">
      <c r="A151" s="100">
        <v>6810</v>
      </c>
      <c r="B151" s="18" t="s">
        <v>508</v>
      </c>
      <c r="D151" s="154">
        <f t="shared" si="39"/>
        <v>3000</v>
      </c>
      <c r="E151" s="154">
        <f t="shared" ref="E151:O156" si="40">R151+AE151</f>
        <v>3000</v>
      </c>
      <c r="F151" s="154">
        <f t="shared" si="40"/>
        <v>3000</v>
      </c>
      <c r="G151" s="154">
        <f t="shared" si="40"/>
        <v>3000</v>
      </c>
      <c r="H151" s="154">
        <f t="shared" si="40"/>
        <v>3000</v>
      </c>
      <c r="I151" s="154">
        <f t="shared" si="40"/>
        <v>3000</v>
      </c>
      <c r="J151" s="154">
        <f t="shared" si="40"/>
        <v>3000</v>
      </c>
      <c r="K151" s="154">
        <f t="shared" si="40"/>
        <v>3000</v>
      </c>
      <c r="L151" s="154">
        <f t="shared" si="40"/>
        <v>3000</v>
      </c>
      <c r="M151" s="154">
        <f t="shared" si="40"/>
        <v>3000</v>
      </c>
      <c r="N151" s="154">
        <f t="shared" si="40"/>
        <v>3000</v>
      </c>
      <c r="O151" s="154">
        <f t="shared" si="40"/>
        <v>3000</v>
      </c>
      <c r="Q151" s="59">
        <f>'School Rollup'!D151</f>
        <v>0</v>
      </c>
      <c r="R151" s="59">
        <f>'School Rollup'!E151</f>
        <v>0</v>
      </c>
      <c r="S151" s="59">
        <f>'School Rollup'!F151</f>
        <v>0</v>
      </c>
      <c r="T151" s="59">
        <f>'School Rollup'!G151</f>
        <v>0</v>
      </c>
      <c r="U151" s="59">
        <f>'School Rollup'!H151</f>
        <v>0</v>
      </c>
      <c r="V151" s="59">
        <f>'School Rollup'!I151</f>
        <v>0</v>
      </c>
      <c r="W151" s="59">
        <f>'School Rollup'!J151</f>
        <v>0</v>
      </c>
      <c r="X151" s="59">
        <f>'School Rollup'!K151</f>
        <v>0</v>
      </c>
      <c r="Y151" s="59">
        <f>'School Rollup'!L151</f>
        <v>0</v>
      </c>
      <c r="Z151" s="59">
        <f>'School Rollup'!M151</f>
        <v>0</v>
      </c>
      <c r="AA151" s="59">
        <f>'School Rollup'!N151</f>
        <v>0</v>
      </c>
      <c r="AB151" s="59">
        <f>'School Rollup'!O151</f>
        <v>0</v>
      </c>
      <c r="AC151"/>
      <c r="AD151" s="6">
        <f>CSO!E171</f>
        <v>3000</v>
      </c>
      <c r="AE151" s="6">
        <f>CSO!F171</f>
        <v>3000</v>
      </c>
      <c r="AF151" s="6">
        <f>CSO!G171</f>
        <v>3000</v>
      </c>
      <c r="AG151" s="6">
        <f>CSO!H171</f>
        <v>3000</v>
      </c>
      <c r="AH151" s="6">
        <f>CSO!I171</f>
        <v>3000</v>
      </c>
      <c r="AI151" s="6">
        <f>CSO!J171</f>
        <v>3000</v>
      </c>
      <c r="AJ151" s="6">
        <f>CSO!K171</f>
        <v>3000</v>
      </c>
      <c r="AK151" s="6">
        <f>CSO!L171</f>
        <v>3000</v>
      </c>
      <c r="AL151" s="6">
        <f>CSO!M171</f>
        <v>3000</v>
      </c>
      <c r="AM151" s="6">
        <f>CSO!N171</f>
        <v>3000</v>
      </c>
      <c r="AN151" s="6">
        <f>CSO!O171</f>
        <v>3000</v>
      </c>
      <c r="AO151" s="6">
        <f>CSO!P171</f>
        <v>3000</v>
      </c>
      <c r="AP151"/>
    </row>
    <row r="152" spans="1:42" s="31" customFormat="1" hidden="1" outlineLevel="1" x14ac:dyDescent="0.25">
      <c r="A152" s="100">
        <v>6810</v>
      </c>
      <c r="B152" s="18" t="s">
        <v>509</v>
      </c>
      <c r="D152" s="154">
        <f t="shared" si="39"/>
        <v>2400</v>
      </c>
      <c r="E152" s="154">
        <f t="shared" si="40"/>
        <v>2400</v>
      </c>
      <c r="F152" s="154">
        <f t="shared" si="40"/>
        <v>4000</v>
      </c>
      <c r="G152" s="154">
        <f t="shared" si="40"/>
        <v>4000</v>
      </c>
      <c r="H152" s="154">
        <f t="shared" si="40"/>
        <v>4000</v>
      </c>
      <c r="I152" s="154">
        <f t="shared" si="40"/>
        <v>4000</v>
      </c>
      <c r="J152" s="154">
        <f t="shared" si="40"/>
        <v>4000</v>
      </c>
      <c r="K152" s="154">
        <f t="shared" si="40"/>
        <v>4000</v>
      </c>
      <c r="L152" s="154">
        <f t="shared" si="40"/>
        <v>4000</v>
      </c>
      <c r="M152" s="154">
        <f t="shared" si="40"/>
        <v>4000</v>
      </c>
      <c r="N152" s="154">
        <f t="shared" si="40"/>
        <v>4000</v>
      </c>
      <c r="O152" s="154">
        <f t="shared" si="40"/>
        <v>4000</v>
      </c>
      <c r="Q152" s="59">
        <f>'School Rollup'!D152</f>
        <v>1600</v>
      </c>
      <c r="R152" s="59">
        <f>'School Rollup'!E152</f>
        <v>1600</v>
      </c>
      <c r="S152" s="59">
        <f>'School Rollup'!F152</f>
        <v>3200</v>
      </c>
      <c r="T152" s="59">
        <f>'School Rollup'!G152</f>
        <v>3200</v>
      </c>
      <c r="U152" s="59">
        <f>'School Rollup'!H152</f>
        <v>3200</v>
      </c>
      <c r="V152" s="59">
        <f>'School Rollup'!I152</f>
        <v>3200</v>
      </c>
      <c r="W152" s="59">
        <f>'School Rollup'!J152</f>
        <v>3200</v>
      </c>
      <c r="X152" s="59">
        <f>'School Rollup'!K152</f>
        <v>3200</v>
      </c>
      <c r="Y152" s="59">
        <f>'School Rollup'!L152</f>
        <v>3200</v>
      </c>
      <c r="Z152" s="59">
        <f>'School Rollup'!M152</f>
        <v>3200</v>
      </c>
      <c r="AA152" s="59">
        <f>'School Rollup'!N152</f>
        <v>3200</v>
      </c>
      <c r="AB152" s="59">
        <f>'School Rollup'!O152</f>
        <v>3200</v>
      </c>
      <c r="AC152"/>
      <c r="AD152" s="6">
        <f>CSO!E172</f>
        <v>800</v>
      </c>
      <c r="AE152" s="6">
        <f>CSO!F172</f>
        <v>800</v>
      </c>
      <c r="AF152" s="6">
        <f>CSO!G172</f>
        <v>800</v>
      </c>
      <c r="AG152" s="6">
        <f>CSO!H172</f>
        <v>800</v>
      </c>
      <c r="AH152" s="6">
        <f>CSO!I172</f>
        <v>800</v>
      </c>
      <c r="AI152" s="6">
        <f>CSO!J172</f>
        <v>800</v>
      </c>
      <c r="AJ152" s="6">
        <f>CSO!K172</f>
        <v>800</v>
      </c>
      <c r="AK152" s="6">
        <f>CSO!L172</f>
        <v>800</v>
      </c>
      <c r="AL152" s="6">
        <f>CSO!M172</f>
        <v>800</v>
      </c>
      <c r="AM152" s="6">
        <f>CSO!N172</f>
        <v>800</v>
      </c>
      <c r="AN152" s="6">
        <f>CSO!O172</f>
        <v>800</v>
      </c>
      <c r="AO152" s="6">
        <f>CSO!P172</f>
        <v>800</v>
      </c>
      <c r="AP152"/>
    </row>
    <row r="153" spans="1:42" s="271" customFormat="1" collapsed="1" x14ac:dyDescent="0.25">
      <c r="A153" s="286">
        <v>800</v>
      </c>
      <c r="B153" s="275" t="s">
        <v>502</v>
      </c>
      <c r="D153" s="265">
        <f>Q153+AD153</f>
        <v>15150</v>
      </c>
      <c r="E153" s="265">
        <f t="shared" si="40"/>
        <v>16200</v>
      </c>
      <c r="F153" s="265">
        <f t="shared" si="40"/>
        <v>19300</v>
      </c>
      <c r="G153" s="265">
        <f t="shared" si="40"/>
        <v>20000</v>
      </c>
      <c r="H153" s="265">
        <f t="shared" si="40"/>
        <v>20500</v>
      </c>
      <c r="I153" s="265">
        <f t="shared" si="40"/>
        <v>20900</v>
      </c>
      <c r="J153" s="265">
        <f t="shared" si="40"/>
        <v>21320</v>
      </c>
      <c r="K153" s="265">
        <f t="shared" si="40"/>
        <v>21740</v>
      </c>
      <c r="L153" s="265">
        <f t="shared" si="40"/>
        <v>22210</v>
      </c>
      <c r="M153" s="265">
        <f t="shared" si="40"/>
        <v>22680</v>
      </c>
      <c r="N153" s="265">
        <f t="shared" si="40"/>
        <v>23170</v>
      </c>
      <c r="O153" s="265">
        <f t="shared" si="40"/>
        <v>23680</v>
      </c>
      <c r="Q153" s="266">
        <f>'School Rollup'!D153</f>
        <v>9350</v>
      </c>
      <c r="R153" s="266">
        <f>'School Rollup'!E153</f>
        <v>10400</v>
      </c>
      <c r="S153" s="266">
        <f>'School Rollup'!F153</f>
        <v>13500</v>
      </c>
      <c r="T153" s="266">
        <f>'School Rollup'!G153</f>
        <v>14200</v>
      </c>
      <c r="U153" s="266">
        <f>'School Rollup'!H153</f>
        <v>14700</v>
      </c>
      <c r="V153" s="266">
        <f>'School Rollup'!I153</f>
        <v>15100</v>
      </c>
      <c r="W153" s="266">
        <f>'School Rollup'!J153</f>
        <v>15520</v>
      </c>
      <c r="X153" s="266">
        <f>'School Rollup'!K153</f>
        <v>15940</v>
      </c>
      <c r="Y153" s="266">
        <f>'School Rollup'!L153</f>
        <v>16410</v>
      </c>
      <c r="Z153" s="266">
        <f>'School Rollup'!M153</f>
        <v>16880</v>
      </c>
      <c r="AA153" s="266">
        <f>'School Rollup'!N153</f>
        <v>17370</v>
      </c>
      <c r="AB153" s="266">
        <f>'School Rollup'!O153</f>
        <v>17880</v>
      </c>
      <c r="AC153" s="267"/>
      <c r="AD153" s="268">
        <f>CSO!E173</f>
        <v>5800</v>
      </c>
      <c r="AE153" s="268">
        <f>CSO!F173</f>
        <v>5800</v>
      </c>
      <c r="AF153" s="268">
        <f>CSO!G173</f>
        <v>5800</v>
      </c>
      <c r="AG153" s="268">
        <f>CSO!H173</f>
        <v>5800</v>
      </c>
      <c r="AH153" s="268">
        <f>CSO!I173</f>
        <v>5800</v>
      </c>
      <c r="AI153" s="268">
        <f>CSO!J173</f>
        <v>5800</v>
      </c>
      <c r="AJ153" s="268">
        <f>CSO!K173</f>
        <v>5800</v>
      </c>
      <c r="AK153" s="268">
        <f>CSO!L173</f>
        <v>5800</v>
      </c>
      <c r="AL153" s="268">
        <f>CSO!M173</f>
        <v>5800</v>
      </c>
      <c r="AM153" s="268">
        <f>CSO!N173</f>
        <v>5800</v>
      </c>
      <c r="AN153" s="268">
        <f>CSO!O173</f>
        <v>5800</v>
      </c>
      <c r="AO153" s="268">
        <f>CSO!P173</f>
        <v>5800</v>
      </c>
      <c r="AP153" s="267"/>
    </row>
    <row r="154" spans="1:42" s="271" customFormat="1" x14ac:dyDescent="0.25">
      <c r="A154" s="285">
        <v>900</v>
      </c>
      <c r="B154" s="279" t="s">
        <v>85</v>
      </c>
      <c r="D154" s="265">
        <f t="shared" si="39"/>
        <v>0</v>
      </c>
      <c r="E154" s="265">
        <f t="shared" si="40"/>
        <v>0</v>
      </c>
      <c r="F154" s="265">
        <f t="shared" si="40"/>
        <v>0</v>
      </c>
      <c r="G154" s="265">
        <f t="shared" si="40"/>
        <v>0</v>
      </c>
      <c r="H154" s="265">
        <f t="shared" si="40"/>
        <v>0</v>
      </c>
      <c r="I154" s="265">
        <f t="shared" si="40"/>
        <v>0</v>
      </c>
      <c r="J154" s="265">
        <f t="shared" si="40"/>
        <v>0</v>
      </c>
      <c r="K154" s="265">
        <f t="shared" si="40"/>
        <v>0</v>
      </c>
      <c r="L154" s="265">
        <f t="shared" si="40"/>
        <v>0</v>
      </c>
      <c r="M154" s="265">
        <f t="shared" si="40"/>
        <v>0</v>
      </c>
      <c r="N154" s="265">
        <f t="shared" si="40"/>
        <v>0</v>
      </c>
      <c r="O154" s="265">
        <f t="shared" si="40"/>
        <v>0</v>
      </c>
      <c r="Q154" s="288">
        <f>'School Rollup'!D154</f>
        <v>0</v>
      </c>
      <c r="R154" s="288">
        <f>'School Rollup'!E154</f>
        <v>0</v>
      </c>
      <c r="S154" s="288">
        <f>'School Rollup'!F154</f>
        <v>0</v>
      </c>
      <c r="T154" s="288">
        <f>'School Rollup'!G154</f>
        <v>0</v>
      </c>
      <c r="U154" s="288">
        <f>'School Rollup'!H154</f>
        <v>0</v>
      </c>
      <c r="V154" s="288">
        <f>'School Rollup'!I154</f>
        <v>0</v>
      </c>
      <c r="W154" s="288">
        <f>'School Rollup'!J154</f>
        <v>0</v>
      </c>
      <c r="X154" s="288">
        <f>'School Rollup'!K154</f>
        <v>0</v>
      </c>
      <c r="Y154" s="288">
        <f>'School Rollup'!L154</f>
        <v>0</v>
      </c>
      <c r="Z154" s="288">
        <f>'School Rollup'!M154</f>
        <v>0</v>
      </c>
      <c r="AA154" s="288">
        <f>'School Rollup'!N154</f>
        <v>0</v>
      </c>
      <c r="AB154" s="288">
        <f>'School Rollup'!O154</f>
        <v>0</v>
      </c>
      <c r="AC154" s="267"/>
      <c r="AD154" s="289">
        <f>CSO!E174</f>
        <v>0</v>
      </c>
      <c r="AE154" s="289">
        <f>CSO!F174</f>
        <v>0</v>
      </c>
      <c r="AF154" s="289">
        <f>CSO!G174</f>
        <v>0</v>
      </c>
      <c r="AG154" s="289">
        <f>CSO!H174</f>
        <v>0</v>
      </c>
      <c r="AH154" s="289">
        <f>CSO!I174</f>
        <v>0</v>
      </c>
      <c r="AI154" s="289">
        <f>CSO!J174</f>
        <v>0</v>
      </c>
      <c r="AJ154" s="289">
        <f>CSO!K174</f>
        <v>0</v>
      </c>
      <c r="AK154" s="289">
        <f>CSO!L174</f>
        <v>0</v>
      </c>
      <c r="AL154" s="289">
        <f>CSO!M174</f>
        <v>0</v>
      </c>
      <c r="AM154" s="289">
        <f>CSO!N174</f>
        <v>0</v>
      </c>
      <c r="AN154" s="289">
        <f>CSO!O174</f>
        <v>0</v>
      </c>
      <c r="AO154" s="289">
        <f>CSO!P174</f>
        <v>0</v>
      </c>
      <c r="AP154" s="267"/>
    </row>
    <row r="155" spans="1:42" s="267" customFormat="1" x14ac:dyDescent="0.25">
      <c r="A155" s="270">
        <v>950</v>
      </c>
      <c r="B155" s="273" t="s">
        <v>86</v>
      </c>
      <c r="D155" s="265">
        <f t="shared" si="39"/>
        <v>0</v>
      </c>
      <c r="E155" s="265">
        <f t="shared" si="40"/>
        <v>0</v>
      </c>
      <c r="F155" s="265">
        <f t="shared" si="40"/>
        <v>0</v>
      </c>
      <c r="G155" s="265">
        <f t="shared" si="40"/>
        <v>0</v>
      </c>
      <c r="H155" s="265">
        <f t="shared" si="40"/>
        <v>0</v>
      </c>
      <c r="I155" s="265">
        <f t="shared" si="40"/>
        <v>0</v>
      </c>
      <c r="J155" s="265">
        <f t="shared" si="40"/>
        <v>0</v>
      </c>
      <c r="K155" s="265">
        <f t="shared" si="40"/>
        <v>0</v>
      </c>
      <c r="L155" s="265">
        <f t="shared" si="40"/>
        <v>0</v>
      </c>
      <c r="M155" s="265">
        <f t="shared" si="40"/>
        <v>0</v>
      </c>
      <c r="N155" s="265">
        <f t="shared" si="40"/>
        <v>0</v>
      </c>
      <c r="O155" s="265">
        <f t="shared" si="40"/>
        <v>0</v>
      </c>
      <c r="Q155" s="266">
        <f>'School Rollup'!D155</f>
        <v>0</v>
      </c>
      <c r="R155" s="266">
        <f>'School Rollup'!E155</f>
        <v>0</v>
      </c>
      <c r="S155" s="266">
        <f>'School Rollup'!F155</f>
        <v>0</v>
      </c>
      <c r="T155" s="266">
        <f>'School Rollup'!G155</f>
        <v>0</v>
      </c>
      <c r="U155" s="266">
        <f>'School Rollup'!H155</f>
        <v>0</v>
      </c>
      <c r="V155" s="266">
        <f>'School Rollup'!I155</f>
        <v>0</v>
      </c>
      <c r="W155" s="266">
        <f>'School Rollup'!J155</f>
        <v>0</v>
      </c>
      <c r="X155" s="266">
        <f>'School Rollup'!K155</f>
        <v>0</v>
      </c>
      <c r="Y155" s="266">
        <f>'School Rollup'!L155</f>
        <v>0</v>
      </c>
      <c r="Z155" s="266">
        <f>'School Rollup'!M155</f>
        <v>0</v>
      </c>
      <c r="AA155" s="266">
        <f>'School Rollup'!N155</f>
        <v>0</v>
      </c>
      <c r="AB155" s="266">
        <f>'School Rollup'!O155</f>
        <v>0</v>
      </c>
      <c r="AD155" s="268">
        <f>CSO!E175</f>
        <v>0</v>
      </c>
      <c r="AE155" s="268">
        <f>CSO!F175</f>
        <v>0</v>
      </c>
      <c r="AF155" s="268">
        <f>CSO!G175</f>
        <v>0</v>
      </c>
      <c r="AG155" s="268">
        <f>CSO!H175</f>
        <v>0</v>
      </c>
      <c r="AH155" s="268">
        <f>CSO!I175</f>
        <v>0</v>
      </c>
      <c r="AI155" s="268">
        <f>CSO!J175</f>
        <v>0</v>
      </c>
      <c r="AJ155" s="268">
        <f>CSO!K175</f>
        <v>0</v>
      </c>
      <c r="AK155" s="268">
        <f>CSO!L175</f>
        <v>0</v>
      </c>
      <c r="AL155" s="268">
        <f>CSO!M175</f>
        <v>0</v>
      </c>
      <c r="AM155" s="268">
        <f>CSO!N175</f>
        <v>0</v>
      </c>
      <c r="AN155" s="268">
        <f>CSO!O175</f>
        <v>0</v>
      </c>
      <c r="AO155" s="268">
        <f>CSO!P175</f>
        <v>0</v>
      </c>
    </row>
    <row r="156" spans="1:42" x14ac:dyDescent="0.25">
      <c r="B156" s="18" t="s">
        <v>216</v>
      </c>
      <c r="D156" s="103">
        <f>Q156+AD156</f>
        <v>5078706.2730899993</v>
      </c>
      <c r="E156" s="103">
        <f t="shared" si="40"/>
        <v>5488735.3669752553</v>
      </c>
      <c r="F156" s="103">
        <f t="shared" si="40"/>
        <v>6245299.5042371601</v>
      </c>
      <c r="G156" s="103">
        <f t="shared" si="40"/>
        <v>6673901.1362328157</v>
      </c>
      <c r="H156" s="103">
        <f t="shared" si="40"/>
        <v>6987151.5911636725</v>
      </c>
      <c r="I156" s="103">
        <f t="shared" si="40"/>
        <v>7271498.270012619</v>
      </c>
      <c r="J156" s="103">
        <f t="shared" si="40"/>
        <v>7495115.869793972</v>
      </c>
      <c r="K156" s="103">
        <f t="shared" si="40"/>
        <v>7799172.496188811</v>
      </c>
      <c r="L156" s="103">
        <f t="shared" si="40"/>
        <v>8148876.2765746657</v>
      </c>
      <c r="M156" s="103">
        <f t="shared" si="40"/>
        <v>8570165.0968439393</v>
      </c>
      <c r="N156" s="103">
        <f t="shared" si="40"/>
        <v>8846945.0180809535</v>
      </c>
      <c r="O156" s="103">
        <f t="shared" si="40"/>
        <v>9134715.2251397893</v>
      </c>
      <c r="Q156" s="103">
        <f>'School Rollup'!D156</f>
        <v>3775915.7268399997</v>
      </c>
      <c r="R156" s="103">
        <f>'School Rollup'!E156</f>
        <v>4151097.4947173004</v>
      </c>
      <c r="S156" s="103">
        <f>'School Rollup'!F156</f>
        <v>4870070.0658565005</v>
      </c>
      <c r="T156" s="103">
        <f>'School Rollup'!G156</f>
        <v>5268081.1317294501</v>
      </c>
      <c r="U156" s="103">
        <f>'School Rollup'!H156</f>
        <v>5538709.0205376027</v>
      </c>
      <c r="V156" s="103">
        <f>'School Rollup'!I156</f>
        <v>5783848.1332638441</v>
      </c>
      <c r="W156" s="103">
        <f>'School Rollup'!J156</f>
        <v>5980516.166922492</v>
      </c>
      <c r="X156" s="103">
        <f>'School Rollup'!K156</f>
        <v>6254342.2271946259</v>
      </c>
      <c r="Y156" s="103">
        <f>'School Rollup'!L156</f>
        <v>6572972.4414577754</v>
      </c>
      <c r="Z156" s="103">
        <f>'School Rollup'!M156</f>
        <v>6943139.6956043439</v>
      </c>
      <c r="AA156" s="103">
        <f>'School Rollup'!N156</f>
        <v>7197751.0507186539</v>
      </c>
      <c r="AB156" s="103">
        <f>'School Rollup'!O156</f>
        <v>7453257.6916547846</v>
      </c>
      <c r="AD156" s="103">
        <f>CSO!E176</f>
        <v>1302790.5462500001</v>
      </c>
      <c r="AE156" s="103">
        <f>CSO!F176</f>
        <v>1337637.8722579549</v>
      </c>
      <c r="AF156" s="103">
        <f>CSO!G176</f>
        <v>1375229.43838066</v>
      </c>
      <c r="AG156" s="103">
        <f>CSO!H176</f>
        <v>1405820.0045033651</v>
      </c>
      <c r="AH156" s="103">
        <f>CSO!I176</f>
        <v>1448442.5706260703</v>
      </c>
      <c r="AI156" s="103">
        <f>CSO!J176</f>
        <v>1487650.1367487751</v>
      </c>
      <c r="AJ156" s="103">
        <f>CSO!K176</f>
        <v>1514599.70287148</v>
      </c>
      <c r="AK156" s="103">
        <f>CSO!L176</f>
        <v>1544830.2689941854</v>
      </c>
      <c r="AL156" s="103">
        <f>CSO!M176</f>
        <v>1575903.83511689</v>
      </c>
      <c r="AM156" s="103">
        <f>CSO!N176</f>
        <v>1627025.4012395951</v>
      </c>
      <c r="AN156" s="103">
        <f>CSO!O176</f>
        <v>1649193.9673623</v>
      </c>
      <c r="AO156" s="103">
        <f>CSO!P176</f>
        <v>1681457.5334850051</v>
      </c>
    </row>
    <row r="157" spans="1:42" s="105" customFormat="1" ht="15.75" thickBot="1" x14ac:dyDescent="0.3">
      <c r="A157" s="104"/>
      <c r="B157" s="18" t="s">
        <v>217</v>
      </c>
      <c r="D157" s="106">
        <f>D21-D156</f>
        <v>548706.22691000067</v>
      </c>
      <c r="E157" s="106">
        <f t="shared" ref="E157:O157" si="41">E21-E156</f>
        <v>702998.58552474435</v>
      </c>
      <c r="F157" s="106">
        <f t="shared" si="41"/>
        <v>1043172.1242878418</v>
      </c>
      <c r="G157" s="106">
        <f t="shared" si="41"/>
        <v>1131779.7214690791</v>
      </c>
      <c r="H157" s="106">
        <f t="shared" si="41"/>
        <v>1236020.7358902395</v>
      </c>
      <c r="I157" s="106">
        <f t="shared" si="41"/>
        <v>1291540.3307418581</v>
      </c>
      <c r="J157" s="106">
        <f t="shared" si="41"/>
        <v>1447706.4090186525</v>
      </c>
      <c r="K157" s="106">
        <f t="shared" si="41"/>
        <v>1528601.7668915363</v>
      </c>
      <c r="L157" s="106">
        <f t="shared" si="41"/>
        <v>1607631.8762698304</v>
      </c>
      <c r="M157" s="106">
        <f t="shared" si="41"/>
        <v>1620931.2417778727</v>
      </c>
      <c r="N157" s="106">
        <f t="shared" si="41"/>
        <v>1799392.201826388</v>
      </c>
      <c r="O157" s="106">
        <f t="shared" si="41"/>
        <v>1990221.3749921601</v>
      </c>
      <c r="Q157" s="106">
        <f>'School Rollup'!D157</f>
        <v>238993.02316000033</v>
      </c>
      <c r="R157" s="106">
        <f>'School Rollup'!E157</f>
        <v>200192.98903270019</v>
      </c>
      <c r="S157" s="106">
        <f>'School Rollup'!F157</f>
        <v>251408.22846850008</v>
      </c>
      <c r="T157" s="106">
        <f>'School Rollup'!G157</f>
        <v>214429.59058600198</v>
      </c>
      <c r="U157" s="106">
        <f>'School Rollup'!H157</f>
        <v>237979.07540243398</v>
      </c>
      <c r="V157" s="106">
        <f>'School Rollup'!I157</f>
        <v>233977.00315269269</v>
      </c>
      <c r="W157" s="106">
        <f>'School Rollup'!J157</f>
        <v>306353.89871112723</v>
      </c>
      <c r="X157" s="106">
        <f>'School Rollup'!K157</f>
        <v>305262.40543990396</v>
      </c>
      <c r="Y157" s="106">
        <f>'School Rollup'!L157</f>
        <v>290547.430485541</v>
      </c>
      <c r="Z157" s="106">
        <f>'School Rollup'!M157</f>
        <v>228476.53123330604</v>
      </c>
      <c r="AA157" s="106">
        <f>'School Rollup'!N157</f>
        <v>296397.10450372938</v>
      </c>
      <c r="AB157" s="106">
        <f>'School Rollup'!O157</f>
        <v>380491.67334008217</v>
      </c>
      <c r="AC157"/>
      <c r="AD157" s="106">
        <f>CSO!E177</f>
        <v>309713.20374999987</v>
      </c>
      <c r="AE157" s="106">
        <f>CSO!F177</f>
        <v>502805.59649204533</v>
      </c>
      <c r="AF157" s="106">
        <f>CSO!G177</f>
        <v>791763.89581934083</v>
      </c>
      <c r="AG157" s="106">
        <f>CSO!H177</f>
        <v>917350.13088307763</v>
      </c>
      <c r="AH157" s="106">
        <f>CSO!I177</f>
        <v>998041.66048780596</v>
      </c>
      <c r="AI157" s="106">
        <f>CSO!J177</f>
        <v>1057563.3275891652</v>
      </c>
      <c r="AJ157" s="106">
        <f>CSO!K177</f>
        <v>1141352.5103075248</v>
      </c>
      <c r="AK157" s="106">
        <f>CSO!L177</f>
        <v>1223339.3614516312</v>
      </c>
      <c r="AL157" s="106">
        <f>CSO!M177</f>
        <v>1317084.4457842901</v>
      </c>
      <c r="AM157" s="106">
        <f>CSO!N177</f>
        <v>1392454.7105445664</v>
      </c>
      <c r="AN157" s="106">
        <f>CSO!O177</f>
        <v>1502995.0973226582</v>
      </c>
      <c r="AO157" s="106">
        <f>CSO!P177</f>
        <v>1609729.7016520766</v>
      </c>
      <c r="AP157"/>
    </row>
    <row r="158" spans="1:42" ht="16.5" thickTop="1" thickBot="1" x14ac:dyDescent="0.3">
      <c r="A158" s="18"/>
      <c r="B158" s="18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</row>
    <row r="159" spans="1:42" ht="15.75" thickBot="1" x14ac:dyDescent="0.3">
      <c r="A159" s="18"/>
      <c r="B159" s="18" t="s">
        <v>344</v>
      </c>
      <c r="D159" s="154">
        <f t="shared" ref="D159:O161" si="42">Q159+AD159</f>
        <v>836000</v>
      </c>
      <c r="E159" s="154">
        <f t="shared" si="42"/>
        <v>1384706.2269099997</v>
      </c>
      <c r="F159" s="154">
        <f t="shared" si="42"/>
        <v>2087704.812434745</v>
      </c>
      <c r="G159" s="154">
        <f t="shared" si="42"/>
        <v>3130876.9367225859</v>
      </c>
      <c r="H159" s="154">
        <f t="shared" si="42"/>
        <v>4262656.6581916651</v>
      </c>
      <c r="I159" s="154">
        <f t="shared" si="42"/>
        <v>5498677.3940819055</v>
      </c>
      <c r="J159" s="154">
        <f t="shared" si="42"/>
        <v>6790217.7248237636</v>
      </c>
      <c r="K159" s="154">
        <f t="shared" si="42"/>
        <v>8237924.1338424133</v>
      </c>
      <c r="L159" s="154">
        <f t="shared" si="42"/>
        <v>9766525.9007339496</v>
      </c>
      <c r="M159" s="154">
        <f t="shared" si="42"/>
        <v>11374157.77700378</v>
      </c>
      <c r="N159" s="154">
        <f t="shared" si="42"/>
        <v>12995089.018781653</v>
      </c>
      <c r="O159" s="154">
        <f t="shared" si="42"/>
        <v>14794481.220608039</v>
      </c>
      <c r="Q159" s="75">
        <f>'School Rollup'!D159</f>
        <v>336000</v>
      </c>
      <c r="R159" s="75">
        <f>'School Rollup'!E159</f>
        <v>574993.02315999987</v>
      </c>
      <c r="S159" s="75">
        <f>'School Rollup'!F159</f>
        <v>775186.01219269994</v>
      </c>
      <c r="T159" s="75">
        <f>'School Rollup'!G159</f>
        <v>1026594.2406611999</v>
      </c>
      <c r="U159" s="75">
        <f>'School Rollup'!H159</f>
        <v>1241023.8312472019</v>
      </c>
      <c r="V159" s="75">
        <f>'School Rollup'!I159</f>
        <v>1479002.9066496356</v>
      </c>
      <c r="W159" s="75">
        <f>'School Rollup'!J159</f>
        <v>1712979.9098023283</v>
      </c>
      <c r="X159" s="75">
        <f>'School Rollup'!K159</f>
        <v>2019333.8085134542</v>
      </c>
      <c r="Y159" s="75">
        <f>'School Rollup'!L159</f>
        <v>2324596.2139533586</v>
      </c>
      <c r="Z159" s="75">
        <f>'School Rollup'!M159</f>
        <v>2615143.6444389005</v>
      </c>
      <c r="AA159" s="75">
        <f>'School Rollup'!N159</f>
        <v>2843620.1756722075</v>
      </c>
      <c r="AB159" s="75">
        <f>'School Rollup'!O159</f>
        <v>3140017.2801759359</v>
      </c>
      <c r="AD159" s="315">
        <v>500000</v>
      </c>
      <c r="AE159" s="48">
        <f>AD162</f>
        <v>809713.20374999987</v>
      </c>
      <c r="AF159" s="48">
        <f>AE162</f>
        <v>1312518.8002420452</v>
      </c>
      <c r="AG159" s="48">
        <f t="shared" ref="AG159:AO159" si="43">AF162</f>
        <v>2104282.6960613858</v>
      </c>
      <c r="AH159" s="48">
        <f t="shared" si="43"/>
        <v>3021632.8269444634</v>
      </c>
      <c r="AI159" s="48">
        <f t="shared" si="43"/>
        <v>4019674.4874322694</v>
      </c>
      <c r="AJ159" s="48">
        <f t="shared" si="43"/>
        <v>5077237.8150214348</v>
      </c>
      <c r="AK159" s="48">
        <f t="shared" si="43"/>
        <v>6218590.3253289592</v>
      </c>
      <c r="AL159" s="48">
        <f t="shared" si="43"/>
        <v>7441929.6867805906</v>
      </c>
      <c r="AM159" s="48">
        <f t="shared" si="43"/>
        <v>8759014.13256488</v>
      </c>
      <c r="AN159" s="48">
        <f t="shared" si="43"/>
        <v>10151468.843109446</v>
      </c>
      <c r="AO159" s="48">
        <f t="shared" si="43"/>
        <v>11654463.940432103</v>
      </c>
    </row>
    <row r="160" spans="1:42" x14ac:dyDescent="0.25">
      <c r="A160" s="18"/>
      <c r="B160" s="18" t="s">
        <v>341</v>
      </c>
      <c r="D160" s="154">
        <f t="shared" si="42"/>
        <v>0</v>
      </c>
      <c r="E160" s="154">
        <f t="shared" si="42"/>
        <v>0</v>
      </c>
      <c r="F160" s="154">
        <f t="shared" si="42"/>
        <v>0</v>
      </c>
      <c r="G160" s="154">
        <f t="shared" si="42"/>
        <v>0</v>
      </c>
      <c r="H160" s="154">
        <f t="shared" si="42"/>
        <v>0</v>
      </c>
      <c r="I160" s="154">
        <f t="shared" si="42"/>
        <v>0</v>
      </c>
      <c r="J160" s="154">
        <f t="shared" si="42"/>
        <v>0</v>
      </c>
      <c r="K160" s="154">
        <f t="shared" si="42"/>
        <v>0</v>
      </c>
      <c r="L160" s="154">
        <f t="shared" si="42"/>
        <v>0</v>
      </c>
      <c r="M160" s="154">
        <f t="shared" si="42"/>
        <v>0</v>
      </c>
      <c r="N160" s="154">
        <f t="shared" si="42"/>
        <v>0</v>
      </c>
      <c r="O160" s="154">
        <f t="shared" si="42"/>
        <v>0</v>
      </c>
      <c r="Q160" s="75">
        <f>'School Rollup'!D160</f>
        <v>0</v>
      </c>
      <c r="R160" s="75">
        <f>'School Rollup'!E160</f>
        <v>0</v>
      </c>
      <c r="S160" s="75">
        <f>'School Rollup'!F160</f>
        <v>0</v>
      </c>
      <c r="T160" s="75">
        <f>'School Rollup'!G160</f>
        <v>0</v>
      </c>
      <c r="U160" s="75">
        <f>'School Rollup'!H160</f>
        <v>0</v>
      </c>
      <c r="V160" s="75">
        <f>'School Rollup'!I160</f>
        <v>0</v>
      </c>
      <c r="W160" s="75">
        <f>'School Rollup'!J160</f>
        <v>0</v>
      </c>
      <c r="X160" s="75">
        <f>'School Rollup'!K160</f>
        <v>0</v>
      </c>
      <c r="Y160" s="75">
        <f>'School Rollup'!L160</f>
        <v>0</v>
      </c>
      <c r="Z160" s="75">
        <f>'School Rollup'!M160</f>
        <v>0</v>
      </c>
      <c r="AA160" s="75">
        <f>'School Rollup'!N160</f>
        <v>0</v>
      </c>
      <c r="AB160" s="75">
        <f>'School Rollup'!O160</f>
        <v>0</v>
      </c>
      <c r="AD160" s="48"/>
      <c r="AE160" s="48"/>
      <c r="AF160" s="48"/>
      <c r="AG160" s="48"/>
      <c r="AH160" s="48"/>
      <c r="AI160" s="48"/>
      <c r="AJ160" s="46"/>
      <c r="AK160" s="46"/>
      <c r="AL160" s="46"/>
      <c r="AM160" s="46"/>
      <c r="AN160" s="46"/>
      <c r="AO160" s="46"/>
    </row>
    <row r="161" spans="1:42" x14ac:dyDescent="0.25">
      <c r="A161" s="18"/>
      <c r="B161" s="18" t="s">
        <v>343</v>
      </c>
      <c r="D161" s="11">
        <f t="shared" si="42"/>
        <v>0</v>
      </c>
      <c r="E161" s="11">
        <f t="shared" si="42"/>
        <v>0</v>
      </c>
      <c r="F161" s="11">
        <f t="shared" si="42"/>
        <v>0</v>
      </c>
      <c r="G161" s="11">
        <f t="shared" si="42"/>
        <v>0</v>
      </c>
      <c r="H161" s="11">
        <f t="shared" si="42"/>
        <v>0</v>
      </c>
      <c r="I161" s="11">
        <f t="shared" si="42"/>
        <v>0</v>
      </c>
      <c r="J161" s="11">
        <f t="shared" si="42"/>
        <v>0</v>
      </c>
      <c r="K161" s="11">
        <f t="shared" si="42"/>
        <v>0</v>
      </c>
      <c r="L161" s="11">
        <f t="shared" si="42"/>
        <v>0</v>
      </c>
      <c r="M161" s="11">
        <f t="shared" si="42"/>
        <v>0</v>
      </c>
      <c r="N161" s="11">
        <f t="shared" si="42"/>
        <v>0</v>
      </c>
      <c r="O161" s="11">
        <f t="shared" si="42"/>
        <v>0</v>
      </c>
      <c r="Q161" s="49">
        <f>'School Rollup'!D161</f>
        <v>0</v>
      </c>
      <c r="R161" s="49">
        <f>'School Rollup'!E161</f>
        <v>0</v>
      </c>
      <c r="S161" s="49">
        <f>'School Rollup'!F161</f>
        <v>0</v>
      </c>
      <c r="T161" s="49">
        <f>'School Rollup'!G161</f>
        <v>0</v>
      </c>
      <c r="U161" s="49">
        <f>'School Rollup'!H161</f>
        <v>0</v>
      </c>
      <c r="V161" s="49">
        <f>'School Rollup'!I161</f>
        <v>0</v>
      </c>
      <c r="W161" s="49">
        <f>'School Rollup'!J161</f>
        <v>0</v>
      </c>
      <c r="X161" s="49">
        <f>'School Rollup'!K161</f>
        <v>0</v>
      </c>
      <c r="Y161" s="49">
        <f>'School Rollup'!L161</f>
        <v>0</v>
      </c>
      <c r="Z161" s="49">
        <f>'School Rollup'!M161</f>
        <v>0</v>
      </c>
      <c r="AA161" s="49">
        <f>'School Rollup'!N161</f>
        <v>0</v>
      </c>
      <c r="AB161" s="49">
        <f>'School Rollup'!O161</f>
        <v>0</v>
      </c>
      <c r="AD161" s="42"/>
      <c r="AE161" s="49"/>
      <c r="AF161" s="49"/>
      <c r="AG161" s="49"/>
      <c r="AH161" s="49"/>
      <c r="AI161" s="49"/>
      <c r="AJ161" s="176"/>
      <c r="AK161" s="176"/>
      <c r="AL161" s="176"/>
      <c r="AM161" s="176"/>
      <c r="AN161" s="176"/>
      <c r="AO161" s="176"/>
    </row>
    <row r="162" spans="1:42" x14ac:dyDescent="0.25">
      <c r="A162" s="18"/>
      <c r="B162" s="18" t="s">
        <v>345</v>
      </c>
      <c r="D162" s="48">
        <f>D157+SUM(D159:D161)</f>
        <v>1384706.2269100007</v>
      </c>
      <c r="E162" s="48">
        <f>SUM(E159:E161)+E157</f>
        <v>2087704.8124347441</v>
      </c>
      <c r="F162" s="48">
        <f t="shared" ref="F162:N162" si="44">SUM(F159:F161)+F157</f>
        <v>3130876.9367225869</v>
      </c>
      <c r="G162" s="48">
        <f t="shared" si="44"/>
        <v>4262656.6581916651</v>
      </c>
      <c r="H162" s="48">
        <f t="shared" si="44"/>
        <v>5498677.3940819046</v>
      </c>
      <c r="I162" s="48">
        <f t="shared" si="44"/>
        <v>6790217.7248237636</v>
      </c>
      <c r="J162" s="48">
        <f t="shared" si="44"/>
        <v>8237924.1338424161</v>
      </c>
      <c r="K162" s="48">
        <f t="shared" si="44"/>
        <v>9766525.9007339496</v>
      </c>
      <c r="L162" s="48">
        <f t="shared" si="44"/>
        <v>11374157.77700378</v>
      </c>
      <c r="M162" s="48">
        <f t="shared" si="44"/>
        <v>12995089.018781653</v>
      </c>
      <c r="N162" s="48">
        <f t="shared" si="44"/>
        <v>14794481.220608041</v>
      </c>
      <c r="O162" s="48">
        <f>SUM(O159:O161)+O157</f>
        <v>16784702.595600199</v>
      </c>
      <c r="Q162" s="48">
        <f>Q157+SUM(Q159:Q161)</f>
        <v>574993.02316000033</v>
      </c>
      <c r="R162" s="48">
        <f>SUM(R159:R161)+R157</f>
        <v>775186.01219270006</v>
      </c>
      <c r="S162" s="48">
        <f t="shared" ref="S162:AA162" si="45">SUM(S159:S161)+S157</f>
        <v>1026594.2406612</v>
      </c>
      <c r="T162" s="48">
        <f t="shared" si="45"/>
        <v>1241023.8312472019</v>
      </c>
      <c r="U162" s="48">
        <f t="shared" si="45"/>
        <v>1479002.9066496359</v>
      </c>
      <c r="V162" s="48">
        <f t="shared" si="45"/>
        <v>1712979.9098023283</v>
      </c>
      <c r="W162" s="48">
        <f t="shared" si="45"/>
        <v>2019333.8085134556</v>
      </c>
      <c r="X162" s="48">
        <f t="shared" si="45"/>
        <v>2324596.2139533581</v>
      </c>
      <c r="Y162" s="48">
        <f t="shared" si="45"/>
        <v>2615143.6444388996</v>
      </c>
      <c r="Z162" s="48">
        <f t="shared" si="45"/>
        <v>2843620.1756722066</v>
      </c>
      <c r="AA162" s="48">
        <f t="shared" si="45"/>
        <v>3140017.2801759369</v>
      </c>
      <c r="AB162" s="48">
        <f>SUM(AB159:AB161)+AB157</f>
        <v>3520508.9535160181</v>
      </c>
      <c r="AD162" s="48">
        <f>AD157+SUM(AD159:AD161)</f>
        <v>809713.20374999987</v>
      </c>
      <c r="AE162" s="48">
        <f>SUM(AE159:AE161)+AE157</f>
        <v>1312518.8002420452</v>
      </c>
      <c r="AF162" s="48">
        <f t="shared" ref="AF162:AO162" si="46">SUM(AF159:AF161)+AF157</f>
        <v>2104282.6960613858</v>
      </c>
      <c r="AG162" s="48">
        <f t="shared" si="46"/>
        <v>3021632.8269444634</v>
      </c>
      <c r="AH162" s="48">
        <f t="shared" si="46"/>
        <v>4019674.4874322694</v>
      </c>
      <c r="AI162" s="48">
        <f t="shared" si="46"/>
        <v>5077237.8150214348</v>
      </c>
      <c r="AJ162" s="48">
        <f t="shared" si="46"/>
        <v>6218590.3253289592</v>
      </c>
      <c r="AK162" s="48">
        <f t="shared" si="46"/>
        <v>7441929.6867805906</v>
      </c>
      <c r="AL162" s="48">
        <f t="shared" si="46"/>
        <v>8759014.13256488</v>
      </c>
      <c r="AM162" s="48">
        <f t="shared" si="46"/>
        <v>10151468.843109446</v>
      </c>
      <c r="AN162" s="48">
        <f t="shared" si="46"/>
        <v>11654463.940432103</v>
      </c>
      <c r="AO162" s="48">
        <f t="shared" si="46"/>
        <v>13264193.642084179</v>
      </c>
    </row>
    <row r="163" spans="1:42" x14ac:dyDescent="0.25">
      <c r="A163" s="18"/>
      <c r="B163" s="18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Q163" s="48"/>
      <c r="R163" s="48"/>
      <c r="S163" s="48"/>
      <c r="T163" s="48"/>
      <c r="U163" s="48"/>
      <c r="V163" s="48"/>
      <c r="W163" s="46"/>
      <c r="X163" s="46"/>
      <c r="Y163" s="46"/>
      <c r="Z163" s="46"/>
      <c r="AA163" s="46"/>
      <c r="AB163" s="46"/>
      <c r="AD163" s="48"/>
      <c r="AE163" s="48"/>
      <c r="AF163" s="48"/>
      <c r="AG163" s="48"/>
      <c r="AH163" s="48"/>
      <c r="AI163" s="48"/>
      <c r="AJ163" s="46"/>
      <c r="AK163" s="46"/>
      <c r="AL163" s="46"/>
      <c r="AM163" s="46"/>
      <c r="AN163" s="46"/>
      <c r="AO163" s="46"/>
    </row>
    <row r="164" spans="1:42" x14ac:dyDescent="0.25">
      <c r="A164" s="18"/>
      <c r="B164" s="18" t="s">
        <v>522</v>
      </c>
      <c r="D164" s="48">
        <f>Q164</f>
        <v>420</v>
      </c>
      <c r="E164" s="48">
        <f t="shared" ref="E164:O165" si="47">R164</f>
        <v>470</v>
      </c>
      <c r="F164" s="48">
        <f t="shared" si="47"/>
        <v>550</v>
      </c>
      <c r="G164" s="48">
        <f t="shared" si="47"/>
        <v>590</v>
      </c>
      <c r="H164" s="48">
        <f t="shared" si="47"/>
        <v>610</v>
      </c>
      <c r="I164" s="48">
        <f t="shared" si="47"/>
        <v>650</v>
      </c>
      <c r="J164" s="48">
        <f t="shared" si="47"/>
        <v>660</v>
      </c>
      <c r="K164" s="48">
        <f t="shared" si="47"/>
        <v>690</v>
      </c>
      <c r="L164" s="48">
        <f t="shared" si="47"/>
        <v>710</v>
      </c>
      <c r="M164" s="48">
        <f t="shared" si="47"/>
        <v>740</v>
      </c>
      <c r="N164" s="48">
        <f t="shared" si="47"/>
        <v>760</v>
      </c>
      <c r="O164" s="48">
        <f t="shared" si="47"/>
        <v>790</v>
      </c>
      <c r="Q164" s="75">
        <f>'School Rollup'!D164</f>
        <v>420</v>
      </c>
      <c r="R164" s="75">
        <f>'School Rollup'!E164</f>
        <v>470</v>
      </c>
      <c r="S164" s="75">
        <f>'School Rollup'!F164</f>
        <v>550</v>
      </c>
      <c r="T164" s="75">
        <f>'School Rollup'!G164</f>
        <v>590</v>
      </c>
      <c r="U164" s="75">
        <f>'School Rollup'!H164</f>
        <v>610</v>
      </c>
      <c r="V164" s="75">
        <f>'School Rollup'!I164</f>
        <v>650</v>
      </c>
      <c r="W164" s="75">
        <f>'School Rollup'!J164</f>
        <v>660</v>
      </c>
      <c r="X164" s="75">
        <f>'School Rollup'!K164</f>
        <v>690</v>
      </c>
      <c r="Y164" s="75">
        <f>'School Rollup'!L164</f>
        <v>710</v>
      </c>
      <c r="Z164" s="75">
        <f>'School Rollup'!M164</f>
        <v>740</v>
      </c>
      <c r="AA164" s="75">
        <f>'School Rollup'!N164</f>
        <v>760</v>
      </c>
      <c r="AB164" s="75">
        <f>'School Rollup'!O164</f>
        <v>790</v>
      </c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</row>
    <row r="165" spans="1:42" x14ac:dyDescent="0.25">
      <c r="A165" s="18"/>
      <c r="B165" s="18" t="s">
        <v>521</v>
      </c>
      <c r="D165" s="49">
        <f>Q165</f>
        <v>330</v>
      </c>
      <c r="E165" s="49">
        <f t="shared" si="47"/>
        <v>385</v>
      </c>
      <c r="F165" s="49">
        <f t="shared" si="47"/>
        <v>450</v>
      </c>
      <c r="G165" s="49">
        <f t="shared" si="47"/>
        <v>480</v>
      </c>
      <c r="H165" s="49">
        <f t="shared" si="47"/>
        <v>510</v>
      </c>
      <c r="I165" s="49">
        <f t="shared" si="47"/>
        <v>510</v>
      </c>
      <c r="J165" s="49">
        <f t="shared" si="47"/>
        <v>542</v>
      </c>
      <c r="K165" s="49">
        <f t="shared" si="47"/>
        <v>554</v>
      </c>
      <c r="L165" s="49">
        <f t="shared" si="47"/>
        <v>581</v>
      </c>
      <c r="M165" s="49">
        <f t="shared" si="47"/>
        <v>598</v>
      </c>
      <c r="N165" s="49">
        <f t="shared" si="47"/>
        <v>627</v>
      </c>
      <c r="O165" s="49">
        <f t="shared" si="47"/>
        <v>648</v>
      </c>
      <c r="Q165" s="49">
        <f>'School Rollup'!D165</f>
        <v>330</v>
      </c>
      <c r="R165" s="49">
        <f>'School Rollup'!E165</f>
        <v>385</v>
      </c>
      <c r="S165" s="49">
        <f>'School Rollup'!F165</f>
        <v>450</v>
      </c>
      <c r="T165" s="49">
        <f>'School Rollup'!G165</f>
        <v>480</v>
      </c>
      <c r="U165" s="49">
        <f>'School Rollup'!H165</f>
        <v>510</v>
      </c>
      <c r="V165" s="49">
        <f>'School Rollup'!I165</f>
        <v>510</v>
      </c>
      <c r="W165" s="49">
        <f>'School Rollup'!J165</f>
        <v>542</v>
      </c>
      <c r="X165" s="49">
        <f>'School Rollup'!K165</f>
        <v>554</v>
      </c>
      <c r="Y165" s="49">
        <f>'School Rollup'!L165</f>
        <v>581</v>
      </c>
      <c r="Z165" s="49">
        <f>'School Rollup'!M165</f>
        <v>598</v>
      </c>
      <c r="AA165" s="49">
        <f>'School Rollup'!N165</f>
        <v>627</v>
      </c>
      <c r="AB165" s="49">
        <f>'School Rollup'!O165</f>
        <v>648</v>
      </c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</row>
    <row r="166" spans="1:42" x14ac:dyDescent="0.25">
      <c r="A166" s="18"/>
      <c r="B166" s="18" t="s">
        <v>520</v>
      </c>
      <c r="D166" s="48">
        <f>SUM(D164:D165)</f>
        <v>750</v>
      </c>
      <c r="E166" s="48">
        <f t="shared" ref="E166:O166" si="48">SUM(E164:E165)</f>
        <v>855</v>
      </c>
      <c r="F166" s="48">
        <f t="shared" si="48"/>
        <v>1000</v>
      </c>
      <c r="G166" s="48">
        <f t="shared" si="48"/>
        <v>1070</v>
      </c>
      <c r="H166" s="48">
        <f t="shared" si="48"/>
        <v>1120</v>
      </c>
      <c r="I166" s="48">
        <f t="shared" si="48"/>
        <v>1160</v>
      </c>
      <c r="J166" s="48">
        <f t="shared" si="48"/>
        <v>1202</v>
      </c>
      <c r="K166" s="48">
        <f t="shared" si="48"/>
        <v>1244</v>
      </c>
      <c r="L166" s="48">
        <f t="shared" si="48"/>
        <v>1291</v>
      </c>
      <c r="M166" s="48">
        <f t="shared" si="48"/>
        <v>1338</v>
      </c>
      <c r="N166" s="48">
        <f t="shared" si="48"/>
        <v>1387</v>
      </c>
      <c r="O166" s="48">
        <f t="shared" si="48"/>
        <v>1438</v>
      </c>
      <c r="Q166" s="48">
        <f>Q165+Q164</f>
        <v>750</v>
      </c>
      <c r="R166" s="48">
        <f t="shared" ref="R166:AB166" si="49">R165+R164</f>
        <v>855</v>
      </c>
      <c r="S166" s="48">
        <f t="shared" si="49"/>
        <v>1000</v>
      </c>
      <c r="T166" s="48">
        <f t="shared" si="49"/>
        <v>1070</v>
      </c>
      <c r="U166" s="48">
        <f t="shared" si="49"/>
        <v>1120</v>
      </c>
      <c r="V166" s="48">
        <f t="shared" si="49"/>
        <v>1160</v>
      </c>
      <c r="W166" s="48">
        <f t="shared" si="49"/>
        <v>1202</v>
      </c>
      <c r="X166" s="48">
        <f t="shared" si="49"/>
        <v>1244</v>
      </c>
      <c r="Y166" s="48">
        <f t="shared" si="49"/>
        <v>1291</v>
      </c>
      <c r="Z166" s="48">
        <f t="shared" si="49"/>
        <v>1338</v>
      </c>
      <c r="AA166" s="48">
        <f t="shared" si="49"/>
        <v>1387</v>
      </c>
      <c r="AB166" s="48">
        <f t="shared" si="49"/>
        <v>1438</v>
      </c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</row>
    <row r="167" spans="1:42" x14ac:dyDescent="0.25">
      <c r="A167" s="18"/>
      <c r="B167" s="1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</row>
    <row r="168" spans="1:42" x14ac:dyDescent="0.25">
      <c r="A168" s="18"/>
      <c r="B168" s="18" t="s">
        <v>72</v>
      </c>
      <c r="D168" s="209">
        <f>Q168+AD168</f>
        <v>2</v>
      </c>
      <c r="E168" s="209">
        <f t="shared" ref="E168:O170" si="50">R168+AE168</f>
        <v>2</v>
      </c>
      <c r="F168" s="209">
        <f t="shared" si="50"/>
        <v>2.5</v>
      </c>
      <c r="G168" s="209">
        <f t="shared" si="50"/>
        <v>2.5</v>
      </c>
      <c r="H168" s="209">
        <f t="shared" si="50"/>
        <v>2.5</v>
      </c>
      <c r="I168" s="209">
        <f t="shared" si="50"/>
        <v>2.5</v>
      </c>
      <c r="J168" s="209">
        <f t="shared" si="50"/>
        <v>2.5</v>
      </c>
      <c r="K168" s="209">
        <f t="shared" si="50"/>
        <v>3</v>
      </c>
      <c r="L168" s="209">
        <f t="shared" si="50"/>
        <v>3.5</v>
      </c>
      <c r="M168" s="209">
        <f t="shared" si="50"/>
        <v>4</v>
      </c>
      <c r="N168" s="209">
        <f t="shared" si="50"/>
        <v>4</v>
      </c>
      <c r="O168" s="209">
        <f t="shared" si="50"/>
        <v>4</v>
      </c>
      <c r="P168" s="68"/>
      <c r="Q168" s="210">
        <f>'School Rollup'!D168</f>
        <v>2</v>
      </c>
      <c r="R168" s="210">
        <f>'School Rollup'!E168</f>
        <v>2</v>
      </c>
      <c r="S168" s="210">
        <f>'School Rollup'!F168</f>
        <v>2.5</v>
      </c>
      <c r="T168" s="210">
        <f>'School Rollup'!G168</f>
        <v>2.5</v>
      </c>
      <c r="U168" s="210">
        <f>'School Rollup'!H168</f>
        <v>2.5</v>
      </c>
      <c r="V168" s="210">
        <f>'School Rollup'!I168</f>
        <v>2.5</v>
      </c>
      <c r="W168" s="210">
        <f>'School Rollup'!J168</f>
        <v>2.5</v>
      </c>
      <c r="X168" s="210">
        <f>'School Rollup'!K168</f>
        <v>3</v>
      </c>
      <c r="Y168" s="210">
        <f>'School Rollup'!L168</f>
        <v>3.5</v>
      </c>
      <c r="Z168" s="210">
        <f>'School Rollup'!M168</f>
        <v>4</v>
      </c>
      <c r="AA168" s="210">
        <f>'School Rollup'!N168</f>
        <v>4</v>
      </c>
      <c r="AB168" s="210">
        <f>'School Rollup'!O168</f>
        <v>4</v>
      </c>
      <c r="AC168" s="68"/>
      <c r="AD168" s="68">
        <f>CSO!E200</f>
        <v>0</v>
      </c>
      <c r="AE168" s="68">
        <f>CSO!F200</f>
        <v>0</v>
      </c>
      <c r="AF168" s="68">
        <f>CSO!G200</f>
        <v>0</v>
      </c>
      <c r="AG168" s="68">
        <f>CSO!H200</f>
        <v>0</v>
      </c>
      <c r="AH168" s="68">
        <f>CSO!I200</f>
        <v>0</v>
      </c>
      <c r="AI168" s="68">
        <f>CSO!J200</f>
        <v>0</v>
      </c>
      <c r="AJ168" s="68">
        <f>CSO!K200</f>
        <v>0</v>
      </c>
      <c r="AK168" s="68">
        <f>CSO!L200</f>
        <v>0</v>
      </c>
      <c r="AL168" s="68">
        <f>CSO!M200</f>
        <v>0</v>
      </c>
      <c r="AM168" s="68">
        <f>CSO!N200</f>
        <v>0</v>
      </c>
      <c r="AN168" s="68">
        <f>CSO!O200</f>
        <v>0</v>
      </c>
      <c r="AO168" s="68">
        <f>CSO!P200</f>
        <v>0</v>
      </c>
      <c r="AP168" s="68"/>
    </row>
    <row r="169" spans="1:42" x14ac:dyDescent="0.25">
      <c r="A169" s="18"/>
      <c r="B169" s="18" t="s">
        <v>292</v>
      </c>
      <c r="D169" s="209">
        <f>Q169+AD169</f>
        <v>16</v>
      </c>
      <c r="E169" s="209">
        <f t="shared" si="50"/>
        <v>18</v>
      </c>
      <c r="F169" s="209">
        <f t="shared" si="50"/>
        <v>19</v>
      </c>
      <c r="G169" s="209">
        <f t="shared" si="50"/>
        <v>20</v>
      </c>
      <c r="H169" s="209">
        <f t="shared" si="50"/>
        <v>20</v>
      </c>
      <c r="I169" s="209">
        <f t="shared" si="50"/>
        <v>20</v>
      </c>
      <c r="J169" s="209">
        <f t="shared" si="50"/>
        <v>20</v>
      </c>
      <c r="K169" s="209">
        <f t="shared" si="50"/>
        <v>20</v>
      </c>
      <c r="L169" s="209">
        <f t="shared" si="50"/>
        <v>20</v>
      </c>
      <c r="M169" s="209">
        <f t="shared" si="50"/>
        <v>20</v>
      </c>
      <c r="N169" s="209">
        <f t="shared" si="50"/>
        <v>20</v>
      </c>
      <c r="O169" s="209">
        <f t="shared" si="50"/>
        <v>20</v>
      </c>
      <c r="P169" s="68"/>
      <c r="Q169" s="210">
        <f>'School Rollup'!D169</f>
        <v>8</v>
      </c>
      <c r="R169" s="210">
        <f>'School Rollup'!E169</f>
        <v>10</v>
      </c>
      <c r="S169" s="210">
        <f>'School Rollup'!F169</f>
        <v>11</v>
      </c>
      <c r="T169" s="210">
        <f>'School Rollup'!G169</f>
        <v>12</v>
      </c>
      <c r="U169" s="210">
        <f>'School Rollup'!H169</f>
        <v>12</v>
      </c>
      <c r="V169" s="210">
        <f>'School Rollup'!I169</f>
        <v>12</v>
      </c>
      <c r="W169" s="210">
        <f>'School Rollup'!J169</f>
        <v>12</v>
      </c>
      <c r="X169" s="210">
        <f>'School Rollup'!K169</f>
        <v>12</v>
      </c>
      <c r="Y169" s="210">
        <f>'School Rollup'!L169</f>
        <v>12</v>
      </c>
      <c r="Z169" s="210">
        <f>'School Rollup'!M169</f>
        <v>12</v>
      </c>
      <c r="AA169" s="210">
        <f>'School Rollup'!N169</f>
        <v>12</v>
      </c>
      <c r="AB169" s="210">
        <f>'School Rollup'!O169</f>
        <v>12</v>
      </c>
      <c r="AC169" s="68"/>
      <c r="AD169" s="68">
        <f>CSO!E203+CSO!E204</f>
        <v>8</v>
      </c>
      <c r="AE169" s="68">
        <f>CSO!F203+CSO!F204</f>
        <v>8</v>
      </c>
      <c r="AF169" s="68">
        <f>CSO!G203+CSO!G204</f>
        <v>8</v>
      </c>
      <c r="AG169" s="68">
        <f>CSO!H203+CSO!H204</f>
        <v>8</v>
      </c>
      <c r="AH169" s="68">
        <f>CSO!I203+CSO!I204</f>
        <v>8</v>
      </c>
      <c r="AI169" s="68">
        <f>CSO!J203+CSO!J204</f>
        <v>8</v>
      </c>
      <c r="AJ169" s="68">
        <f>CSO!K203+CSO!K204</f>
        <v>8</v>
      </c>
      <c r="AK169" s="68">
        <f>CSO!L203+CSO!L204</f>
        <v>8</v>
      </c>
      <c r="AL169" s="68">
        <f>CSO!M203+CSO!M204</f>
        <v>8</v>
      </c>
      <c r="AM169" s="68">
        <f>CSO!N203+CSO!N204</f>
        <v>8</v>
      </c>
      <c r="AN169" s="68">
        <f>CSO!O203+CSO!O204</f>
        <v>8</v>
      </c>
      <c r="AO169" s="68">
        <f>CSO!P203+CSO!P204</f>
        <v>8</v>
      </c>
      <c r="AP169" s="68"/>
    </row>
    <row r="170" spans="1:42" x14ac:dyDescent="0.25">
      <c r="A170" s="18"/>
      <c r="B170" s="18" t="s">
        <v>293</v>
      </c>
      <c r="D170" s="211">
        <f>Q170+AD170</f>
        <v>9</v>
      </c>
      <c r="E170" s="211">
        <f t="shared" si="50"/>
        <v>12</v>
      </c>
      <c r="F170" s="211">
        <f t="shared" si="50"/>
        <v>13</v>
      </c>
      <c r="G170" s="211">
        <f t="shared" si="50"/>
        <v>14</v>
      </c>
      <c r="H170" s="211">
        <f t="shared" si="50"/>
        <v>14</v>
      </c>
      <c r="I170" s="211">
        <f t="shared" si="50"/>
        <v>14</v>
      </c>
      <c r="J170" s="211">
        <f t="shared" si="50"/>
        <v>14</v>
      </c>
      <c r="K170" s="211">
        <f t="shared" si="50"/>
        <v>14</v>
      </c>
      <c r="L170" s="211">
        <f t="shared" si="50"/>
        <v>14</v>
      </c>
      <c r="M170" s="211">
        <f t="shared" si="50"/>
        <v>14</v>
      </c>
      <c r="N170" s="211">
        <f t="shared" si="50"/>
        <v>14</v>
      </c>
      <c r="O170" s="211">
        <f t="shared" si="50"/>
        <v>14</v>
      </c>
      <c r="P170" s="68"/>
      <c r="Q170" s="212">
        <f>'School Rollup'!D170</f>
        <v>9</v>
      </c>
      <c r="R170" s="212">
        <f>'School Rollup'!E170</f>
        <v>12</v>
      </c>
      <c r="S170" s="212">
        <f>'School Rollup'!F170</f>
        <v>13</v>
      </c>
      <c r="T170" s="212">
        <f>'School Rollup'!G170</f>
        <v>14</v>
      </c>
      <c r="U170" s="212">
        <f>'School Rollup'!H170</f>
        <v>14</v>
      </c>
      <c r="V170" s="212">
        <f>'School Rollup'!I170</f>
        <v>14</v>
      </c>
      <c r="W170" s="212">
        <f>'School Rollup'!J170</f>
        <v>14</v>
      </c>
      <c r="X170" s="212">
        <f>'School Rollup'!K170</f>
        <v>14</v>
      </c>
      <c r="Y170" s="212">
        <f>'School Rollup'!L170</f>
        <v>14</v>
      </c>
      <c r="Z170" s="212">
        <f>'School Rollup'!M170</f>
        <v>14</v>
      </c>
      <c r="AA170" s="212">
        <f>'School Rollup'!N170</f>
        <v>14</v>
      </c>
      <c r="AB170" s="212">
        <f>'School Rollup'!O170</f>
        <v>14</v>
      </c>
      <c r="AC170" s="68"/>
      <c r="AD170" s="212">
        <f>CSO!E202</f>
        <v>0</v>
      </c>
      <c r="AE170" s="212">
        <f>CSO!F202</f>
        <v>0</v>
      </c>
      <c r="AF170" s="212">
        <f>CSO!G202</f>
        <v>0</v>
      </c>
      <c r="AG170" s="212">
        <f>CSO!H202</f>
        <v>0</v>
      </c>
      <c r="AH170" s="212">
        <f>CSO!I202</f>
        <v>0</v>
      </c>
      <c r="AI170" s="212">
        <f>CSO!J202</f>
        <v>0</v>
      </c>
      <c r="AJ170" s="212">
        <f>CSO!K202</f>
        <v>0</v>
      </c>
      <c r="AK170" s="212">
        <f>CSO!L202</f>
        <v>0</v>
      </c>
      <c r="AL170" s="212">
        <f>CSO!M202</f>
        <v>0</v>
      </c>
      <c r="AM170" s="212">
        <f>CSO!N202</f>
        <v>0</v>
      </c>
      <c r="AN170" s="212">
        <f>CSO!O202</f>
        <v>0</v>
      </c>
      <c r="AO170" s="212">
        <f>CSO!P202</f>
        <v>0</v>
      </c>
      <c r="AP170" s="68"/>
    </row>
    <row r="171" spans="1:42" x14ac:dyDescent="0.25">
      <c r="A171" s="18"/>
      <c r="B171" s="18" t="s">
        <v>11</v>
      </c>
      <c r="D171" s="68">
        <f>SUM(D168:D170)</f>
        <v>27</v>
      </c>
      <c r="E171" s="68">
        <f t="shared" ref="E171:O171" si="51">SUM(E168:E170)</f>
        <v>32</v>
      </c>
      <c r="F171" s="68">
        <f t="shared" si="51"/>
        <v>34.5</v>
      </c>
      <c r="G171" s="68">
        <f t="shared" si="51"/>
        <v>36.5</v>
      </c>
      <c r="H171" s="68">
        <f t="shared" si="51"/>
        <v>36.5</v>
      </c>
      <c r="I171" s="68">
        <f t="shared" si="51"/>
        <v>36.5</v>
      </c>
      <c r="J171" s="68">
        <f t="shared" si="51"/>
        <v>36.5</v>
      </c>
      <c r="K171" s="68">
        <f t="shared" si="51"/>
        <v>37</v>
      </c>
      <c r="L171" s="68">
        <f t="shared" si="51"/>
        <v>37.5</v>
      </c>
      <c r="M171" s="68">
        <f t="shared" si="51"/>
        <v>38</v>
      </c>
      <c r="N171" s="68">
        <f t="shared" si="51"/>
        <v>38</v>
      </c>
      <c r="O171" s="68">
        <f t="shared" si="51"/>
        <v>38</v>
      </c>
      <c r="P171" s="68"/>
      <c r="Q171" s="68">
        <f>SUM(Q168:Q170)</f>
        <v>19</v>
      </c>
      <c r="R171" s="68">
        <f t="shared" ref="R171:AB171" si="52">SUM(R168:R170)</f>
        <v>24</v>
      </c>
      <c r="S171" s="68">
        <f t="shared" si="52"/>
        <v>26.5</v>
      </c>
      <c r="T171" s="68">
        <f t="shared" si="52"/>
        <v>28.5</v>
      </c>
      <c r="U171" s="68">
        <f t="shared" si="52"/>
        <v>28.5</v>
      </c>
      <c r="V171" s="68">
        <f t="shared" si="52"/>
        <v>28.5</v>
      </c>
      <c r="W171" s="68">
        <f t="shared" si="52"/>
        <v>28.5</v>
      </c>
      <c r="X171" s="68">
        <f t="shared" si="52"/>
        <v>29</v>
      </c>
      <c r="Y171" s="68">
        <f t="shared" si="52"/>
        <v>29.5</v>
      </c>
      <c r="Z171" s="68">
        <f t="shared" si="52"/>
        <v>30</v>
      </c>
      <c r="AA171" s="68">
        <f t="shared" si="52"/>
        <v>30</v>
      </c>
      <c r="AB171" s="68">
        <f t="shared" si="52"/>
        <v>30</v>
      </c>
      <c r="AC171" s="68"/>
      <c r="AD171" s="68">
        <f>SUM(AD168:AD170)</f>
        <v>8</v>
      </c>
      <c r="AE171" s="68">
        <f t="shared" ref="AE171:AO171" si="53">SUM(AE168:AE170)</f>
        <v>8</v>
      </c>
      <c r="AF171" s="68">
        <f t="shared" si="53"/>
        <v>8</v>
      </c>
      <c r="AG171" s="68">
        <f t="shared" si="53"/>
        <v>8</v>
      </c>
      <c r="AH171" s="68">
        <f t="shared" si="53"/>
        <v>8</v>
      </c>
      <c r="AI171" s="68">
        <f t="shared" si="53"/>
        <v>8</v>
      </c>
      <c r="AJ171" s="68">
        <f t="shared" si="53"/>
        <v>8</v>
      </c>
      <c r="AK171" s="68">
        <f t="shared" si="53"/>
        <v>8</v>
      </c>
      <c r="AL171" s="68">
        <f t="shared" si="53"/>
        <v>8</v>
      </c>
      <c r="AM171" s="68">
        <f t="shared" si="53"/>
        <v>8</v>
      </c>
      <c r="AN171" s="68">
        <f t="shared" si="53"/>
        <v>8</v>
      </c>
      <c r="AO171" s="68">
        <f t="shared" si="53"/>
        <v>8</v>
      </c>
      <c r="AP171" s="68"/>
    </row>
    <row r="172" spans="1:42" x14ac:dyDescent="0.25">
      <c r="A172" s="18"/>
      <c r="B172" s="1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</row>
    <row r="173" spans="1:42" x14ac:dyDescent="0.25">
      <c r="A173" s="18"/>
      <c r="B173" s="1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</row>
    <row r="174" spans="1:42" x14ac:dyDescent="0.25">
      <c r="A174" s="18"/>
      <c r="B174" s="1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</row>
    <row r="175" spans="1:42" x14ac:dyDescent="0.25">
      <c r="A175" s="18"/>
      <c r="B175" s="1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</row>
    <row r="176" spans="1:42" x14ac:dyDescent="0.25">
      <c r="A176" s="18"/>
      <c r="B176" s="1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</row>
    <row r="177" spans="1:41" x14ac:dyDescent="0.25">
      <c r="A177" s="18"/>
      <c r="B177" s="1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</row>
    <row r="178" spans="1:41" x14ac:dyDescent="0.25">
      <c r="A178" s="18"/>
      <c r="B178" s="1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</row>
    <row r="179" spans="1:41" x14ac:dyDescent="0.25">
      <c r="A179" s="18"/>
      <c r="B179" s="1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</row>
    <row r="180" spans="1:41" x14ac:dyDescent="0.25">
      <c r="A180" s="18"/>
      <c r="B180" s="1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</row>
    <row r="181" spans="1:41" x14ac:dyDescent="0.25">
      <c r="A181" s="18"/>
      <c r="B181" s="1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</row>
    <row r="182" spans="1:41" x14ac:dyDescent="0.25">
      <c r="A182" s="18"/>
      <c r="B182" s="1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</row>
    <row r="183" spans="1:41" x14ac:dyDescent="0.25">
      <c r="A183" s="18"/>
      <c r="B183" s="1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</row>
    <row r="184" spans="1:41" x14ac:dyDescent="0.25">
      <c r="A184" s="18"/>
      <c r="B184" s="1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</row>
    <row r="185" spans="1:41" x14ac:dyDescent="0.25">
      <c r="A185" s="18"/>
      <c r="B185" s="1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</row>
    <row r="186" spans="1:41" x14ac:dyDescent="0.25">
      <c r="A186" s="18"/>
      <c r="B186" s="1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</row>
    <row r="187" spans="1:41" x14ac:dyDescent="0.25">
      <c r="A187" s="18"/>
      <c r="B187" s="1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</row>
    <row r="188" spans="1:41" x14ac:dyDescent="0.25">
      <c r="A188" s="18"/>
      <c r="B188" s="1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</row>
    <row r="189" spans="1:41" x14ac:dyDescent="0.25">
      <c r="A189" s="18"/>
      <c r="B189" s="1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</row>
    <row r="190" spans="1:41" x14ac:dyDescent="0.25">
      <c r="A190" s="18"/>
      <c r="B190" s="1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</row>
    <row r="191" spans="1:41" x14ac:dyDescent="0.25">
      <c r="A191" s="18"/>
      <c r="B191" s="1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</row>
    <row r="192" spans="1:41" x14ac:dyDescent="0.25">
      <c r="A192" s="18"/>
      <c r="B192" s="1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</row>
    <row r="193" spans="1:41" x14ac:dyDescent="0.25">
      <c r="A193" s="18"/>
      <c r="B193" s="1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</row>
    <row r="194" spans="1:41" x14ac:dyDescent="0.25">
      <c r="A194" s="18"/>
      <c r="B194" s="1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</row>
    <row r="195" spans="1:41" x14ac:dyDescent="0.25">
      <c r="A195" s="18"/>
      <c r="B195" s="1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</row>
    <row r="196" spans="1:41" x14ac:dyDescent="0.25">
      <c r="A196" s="18"/>
      <c r="B196" s="1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</row>
    <row r="197" spans="1:41" x14ac:dyDescent="0.25">
      <c r="A197" s="18"/>
      <c r="B197" s="1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</row>
    <row r="198" spans="1:41" x14ac:dyDescent="0.25">
      <c r="A198" s="18"/>
      <c r="B198" s="1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</row>
    <row r="199" spans="1:41" x14ac:dyDescent="0.25">
      <c r="A199" s="18"/>
      <c r="B199" s="1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</row>
    <row r="200" spans="1:41" x14ac:dyDescent="0.25">
      <c r="A200" s="18"/>
      <c r="B200" s="1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</row>
    <row r="201" spans="1:41" x14ac:dyDescent="0.25">
      <c r="A201" s="18"/>
      <c r="B201" s="1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</row>
    <row r="202" spans="1:41" x14ac:dyDescent="0.25">
      <c r="A202" s="18"/>
      <c r="B202" s="1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</row>
    <row r="203" spans="1:41" x14ac:dyDescent="0.25">
      <c r="A203" s="18"/>
      <c r="B203" s="1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</row>
    <row r="204" spans="1:41" x14ac:dyDescent="0.25">
      <c r="A204" s="18"/>
      <c r="B204" s="1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</row>
    <row r="205" spans="1:41" x14ac:dyDescent="0.25">
      <c r="A205" s="18"/>
      <c r="B205" s="1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</row>
    <row r="206" spans="1:41" x14ac:dyDescent="0.25">
      <c r="A206" s="18"/>
      <c r="B206" s="1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</row>
    <row r="207" spans="1:41" x14ac:dyDescent="0.25">
      <c r="A207" s="18"/>
      <c r="B207" s="1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</row>
    <row r="208" spans="1:41" x14ac:dyDescent="0.25">
      <c r="A208" s="18"/>
      <c r="B208" s="1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</row>
    <row r="209" spans="1:41" x14ac:dyDescent="0.25">
      <c r="A209" s="18"/>
      <c r="B209" s="1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</row>
    <row r="210" spans="1:41" x14ac:dyDescent="0.25">
      <c r="A210" s="18"/>
      <c r="B210" s="1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</row>
    <row r="211" spans="1:41" x14ac:dyDescent="0.25">
      <c r="A211" s="18"/>
      <c r="B211" s="1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</row>
    <row r="212" spans="1:41" x14ac:dyDescent="0.25">
      <c r="A212" s="18"/>
      <c r="B212" s="1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</row>
    <row r="213" spans="1:41" x14ac:dyDescent="0.25">
      <c r="A213" s="18"/>
      <c r="B213" s="1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</row>
    <row r="214" spans="1:41" x14ac:dyDescent="0.25">
      <c r="A214" s="18"/>
      <c r="B214" s="1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</row>
    <row r="215" spans="1:41" x14ac:dyDescent="0.25">
      <c r="A215" s="18"/>
      <c r="B215" s="1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</row>
    <row r="216" spans="1:41" x14ac:dyDescent="0.25">
      <c r="A216" s="18"/>
      <c r="B216" s="1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</row>
    <row r="217" spans="1:41" x14ac:dyDescent="0.25">
      <c r="A217" s="18"/>
      <c r="B217" s="1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</row>
    <row r="218" spans="1:41" x14ac:dyDescent="0.25">
      <c r="A218" s="18"/>
      <c r="B218" s="1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</row>
    <row r="219" spans="1:41" x14ac:dyDescent="0.25">
      <c r="A219" s="18"/>
      <c r="B219" s="1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</row>
    <row r="220" spans="1:41" x14ac:dyDescent="0.25">
      <c r="A220" s="18"/>
      <c r="B220" s="1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</row>
    <row r="221" spans="1:41" x14ac:dyDescent="0.25">
      <c r="A221" s="18"/>
      <c r="B221" s="1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</row>
    <row r="222" spans="1:41" x14ac:dyDescent="0.25">
      <c r="A222" s="18"/>
      <c r="B222" s="1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</row>
    <row r="223" spans="1:41" x14ac:dyDescent="0.25">
      <c r="A223" s="18"/>
      <c r="B223" s="1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</row>
  </sheetData>
  <dataConsolidate/>
  <mergeCells count="3">
    <mergeCell ref="D3:O3"/>
    <mergeCell ref="AD3:AO3"/>
    <mergeCell ref="Q3:AB3"/>
  </mergeCells>
  <printOptions horizontalCentered="1"/>
  <pageMargins left="0.7" right="0.7" top="0.75" bottom="0.75" header="0.3" footer="0.3"/>
  <pageSetup paperSize="3" scale="8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73"/>
  <sheetViews>
    <sheetView workbookViewId="0">
      <selection activeCell="BD161" sqref="BD161"/>
    </sheetView>
  </sheetViews>
  <sheetFormatPr defaultColWidth="8.85546875" defaultRowHeight="15" outlineLevelRow="2" x14ac:dyDescent="0.25"/>
  <cols>
    <col min="1" max="1" width="8.85546875" style="100"/>
    <col min="2" max="2" width="52.5703125" customWidth="1"/>
    <col min="3" max="3" width="1.7109375" customWidth="1"/>
    <col min="4" max="15" width="14.7109375" customWidth="1"/>
    <col min="16" max="16" width="1.7109375" customWidth="1"/>
    <col min="17" max="28" width="14.7109375" customWidth="1"/>
    <col min="29" max="29" width="1.7109375" customWidth="1"/>
    <col min="30" max="41" width="14.7109375" customWidth="1"/>
    <col min="42" max="42" width="1.7109375" customWidth="1"/>
    <col min="43" max="54" width="14.7109375" customWidth="1"/>
    <col min="55" max="55" width="1.7109375" customWidth="1"/>
    <col min="56" max="67" width="14.7109375" customWidth="1"/>
    <col min="68" max="68" width="1.7109375" customWidth="1"/>
    <col min="69" max="80" width="14.7109375" customWidth="1"/>
    <col min="81" max="81" width="1.7109375" customWidth="1"/>
    <col min="82" max="93" width="14.7109375" customWidth="1"/>
    <col min="94" max="94" width="1.7109375" customWidth="1"/>
    <col min="96" max="96" width="9.7109375" bestFit="1" customWidth="1"/>
    <col min="97" max="100" width="9.7109375" customWidth="1"/>
    <col min="101" max="105" width="9.7109375" bestFit="1" customWidth="1"/>
    <col min="106" max="106" width="9" customWidth="1"/>
    <col min="107" max="107" width="5.140625" customWidth="1"/>
  </cols>
  <sheetData>
    <row r="1" spans="1:107" x14ac:dyDescent="0.25">
      <c r="A1" s="57" t="str">
        <f>Assumptions!A1</f>
        <v>Nevada State High School's</v>
      </c>
    </row>
    <row r="2" spans="1:107" x14ac:dyDescent="0.25">
      <c r="A2" s="57" t="str">
        <f ca="1">RIGHT(CELL("filename",A1),LEN(CELL("filename",A1))-FIND("]",CELL("filename",A1)))</f>
        <v>School Rollup</v>
      </c>
    </row>
    <row r="3" spans="1:107" s="30" customFormat="1" x14ac:dyDescent="0.25">
      <c r="A3" s="57"/>
      <c r="B3" s="79"/>
      <c r="D3" s="337" t="s">
        <v>215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Q3" s="340" t="s">
        <v>360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D3" s="341" t="s">
        <v>357</v>
      </c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Q3" s="342" t="s">
        <v>361</v>
      </c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D3" s="343" t="s">
        <v>356</v>
      </c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Q3" s="339" t="s">
        <v>355</v>
      </c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D3" s="338" t="s">
        <v>665</v>
      </c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R3"/>
      <c r="CS3"/>
      <c r="CT3"/>
      <c r="CU3"/>
      <c r="CV3"/>
      <c r="CW3"/>
      <c r="CX3"/>
      <c r="CY3"/>
      <c r="CZ3"/>
      <c r="DA3"/>
      <c r="DB3"/>
      <c r="DC3"/>
    </row>
    <row r="4" spans="1:107" x14ac:dyDescent="0.25">
      <c r="A4" s="101" t="s">
        <v>24</v>
      </c>
      <c r="B4" s="4" t="s">
        <v>25</v>
      </c>
      <c r="D4" s="41" t="s">
        <v>61</v>
      </c>
      <c r="E4" s="41" t="s">
        <v>62</v>
      </c>
      <c r="F4" s="41" t="s">
        <v>63</v>
      </c>
      <c r="G4" s="41" t="s">
        <v>64</v>
      </c>
      <c r="H4" s="41" t="s">
        <v>65</v>
      </c>
      <c r="I4" s="41" t="s">
        <v>66</v>
      </c>
      <c r="J4" s="41" t="s">
        <v>204</v>
      </c>
      <c r="K4" s="41" t="s">
        <v>352</v>
      </c>
      <c r="L4" s="41" t="s">
        <v>353</v>
      </c>
      <c r="M4" s="41" t="s">
        <v>368</v>
      </c>
      <c r="N4" s="41" t="s">
        <v>368</v>
      </c>
      <c r="O4" s="41" t="s">
        <v>657</v>
      </c>
      <c r="Q4" s="38" t="str">
        <f>D4</f>
        <v>FY 2018-2019</v>
      </c>
      <c r="R4" s="38" t="str">
        <f t="shared" ref="R4:AB4" si="0">E4</f>
        <v>FY 2019-2020</v>
      </c>
      <c r="S4" s="38" t="str">
        <f t="shared" si="0"/>
        <v>FY 2020-2021</v>
      </c>
      <c r="T4" s="38" t="str">
        <f t="shared" si="0"/>
        <v>FY 2021-2022</v>
      </c>
      <c r="U4" s="38" t="str">
        <f t="shared" si="0"/>
        <v>FY 2022-2023</v>
      </c>
      <c r="V4" s="38" t="str">
        <f t="shared" si="0"/>
        <v>FY 2023-2024</v>
      </c>
      <c r="W4" s="38" t="str">
        <f t="shared" si="0"/>
        <v>FY 2024-2025</v>
      </c>
      <c r="X4" s="38" t="str">
        <f t="shared" si="0"/>
        <v>FY 2025-2026</v>
      </c>
      <c r="Y4" s="38" t="str">
        <f t="shared" si="0"/>
        <v>FY 2026-2027</v>
      </c>
      <c r="Z4" s="38" t="str">
        <f t="shared" si="0"/>
        <v>FY 2027-2028</v>
      </c>
      <c r="AA4" s="38" t="str">
        <f t="shared" si="0"/>
        <v>FY 2027-2028</v>
      </c>
      <c r="AB4" s="38" t="str">
        <f t="shared" si="0"/>
        <v>FY 2028-2029</v>
      </c>
      <c r="AD4" s="3" t="str">
        <f>D4</f>
        <v>FY 2018-2019</v>
      </c>
      <c r="AE4" s="3" t="str">
        <f t="shared" ref="AE4:AO4" si="1">E4</f>
        <v>FY 2019-2020</v>
      </c>
      <c r="AF4" s="3" t="str">
        <f t="shared" si="1"/>
        <v>FY 2020-2021</v>
      </c>
      <c r="AG4" s="3" t="str">
        <f t="shared" si="1"/>
        <v>FY 2021-2022</v>
      </c>
      <c r="AH4" s="3" t="str">
        <f t="shared" si="1"/>
        <v>FY 2022-2023</v>
      </c>
      <c r="AI4" s="3" t="str">
        <f t="shared" si="1"/>
        <v>FY 2023-2024</v>
      </c>
      <c r="AJ4" s="3" t="str">
        <f t="shared" si="1"/>
        <v>FY 2024-2025</v>
      </c>
      <c r="AK4" s="3" t="str">
        <f t="shared" si="1"/>
        <v>FY 2025-2026</v>
      </c>
      <c r="AL4" s="3" t="str">
        <f t="shared" si="1"/>
        <v>FY 2026-2027</v>
      </c>
      <c r="AM4" s="3" t="str">
        <f t="shared" si="1"/>
        <v>FY 2027-2028</v>
      </c>
      <c r="AN4" s="3" t="str">
        <f t="shared" si="1"/>
        <v>FY 2027-2028</v>
      </c>
      <c r="AO4" s="3" t="str">
        <f t="shared" si="1"/>
        <v>FY 2028-2029</v>
      </c>
      <c r="AQ4" s="3" t="str">
        <f>D4</f>
        <v>FY 2018-2019</v>
      </c>
      <c r="AR4" s="3" t="str">
        <f t="shared" ref="AR4:BB4" si="2">E4</f>
        <v>FY 2019-2020</v>
      </c>
      <c r="AS4" s="3" t="str">
        <f t="shared" si="2"/>
        <v>FY 2020-2021</v>
      </c>
      <c r="AT4" s="3" t="str">
        <f t="shared" si="2"/>
        <v>FY 2021-2022</v>
      </c>
      <c r="AU4" s="3" t="str">
        <f t="shared" si="2"/>
        <v>FY 2022-2023</v>
      </c>
      <c r="AV4" s="3" t="str">
        <f t="shared" si="2"/>
        <v>FY 2023-2024</v>
      </c>
      <c r="AW4" s="3" t="str">
        <f t="shared" si="2"/>
        <v>FY 2024-2025</v>
      </c>
      <c r="AX4" s="3" t="str">
        <f t="shared" si="2"/>
        <v>FY 2025-2026</v>
      </c>
      <c r="AY4" s="3" t="str">
        <f t="shared" si="2"/>
        <v>FY 2026-2027</v>
      </c>
      <c r="AZ4" s="3" t="str">
        <f t="shared" si="2"/>
        <v>FY 2027-2028</v>
      </c>
      <c r="BA4" s="3" t="str">
        <f t="shared" si="2"/>
        <v>FY 2027-2028</v>
      </c>
      <c r="BB4" s="3" t="str">
        <f t="shared" si="2"/>
        <v>FY 2028-2029</v>
      </c>
      <c r="BD4" s="3" t="str">
        <f>D4</f>
        <v>FY 2018-2019</v>
      </c>
      <c r="BE4" s="3" t="str">
        <f t="shared" ref="BE4:BO4" si="3">E4</f>
        <v>FY 2019-2020</v>
      </c>
      <c r="BF4" s="3" t="str">
        <f t="shared" si="3"/>
        <v>FY 2020-2021</v>
      </c>
      <c r="BG4" s="3" t="str">
        <f t="shared" si="3"/>
        <v>FY 2021-2022</v>
      </c>
      <c r="BH4" s="3" t="str">
        <f t="shared" si="3"/>
        <v>FY 2022-2023</v>
      </c>
      <c r="BI4" s="3" t="str">
        <f t="shared" si="3"/>
        <v>FY 2023-2024</v>
      </c>
      <c r="BJ4" s="3" t="str">
        <f t="shared" si="3"/>
        <v>FY 2024-2025</v>
      </c>
      <c r="BK4" s="3" t="str">
        <f t="shared" si="3"/>
        <v>FY 2025-2026</v>
      </c>
      <c r="BL4" s="3" t="str">
        <f t="shared" si="3"/>
        <v>FY 2026-2027</v>
      </c>
      <c r="BM4" s="3" t="str">
        <f t="shared" si="3"/>
        <v>FY 2027-2028</v>
      </c>
      <c r="BN4" s="3" t="str">
        <f t="shared" si="3"/>
        <v>FY 2027-2028</v>
      </c>
      <c r="BO4" s="3" t="str">
        <f t="shared" si="3"/>
        <v>FY 2028-2029</v>
      </c>
      <c r="BQ4" s="3" t="str">
        <f>D4</f>
        <v>FY 2018-2019</v>
      </c>
      <c r="BR4" s="3" t="str">
        <f t="shared" ref="BR4:CB4" si="4">E4</f>
        <v>FY 2019-2020</v>
      </c>
      <c r="BS4" s="3" t="str">
        <f t="shared" si="4"/>
        <v>FY 2020-2021</v>
      </c>
      <c r="BT4" s="3" t="str">
        <f t="shared" si="4"/>
        <v>FY 2021-2022</v>
      </c>
      <c r="BU4" s="3" t="str">
        <f t="shared" si="4"/>
        <v>FY 2022-2023</v>
      </c>
      <c r="BV4" s="3" t="str">
        <f t="shared" si="4"/>
        <v>FY 2023-2024</v>
      </c>
      <c r="BW4" s="3" t="str">
        <f t="shared" si="4"/>
        <v>FY 2024-2025</v>
      </c>
      <c r="BX4" s="3" t="str">
        <f t="shared" si="4"/>
        <v>FY 2025-2026</v>
      </c>
      <c r="BY4" s="3" t="str">
        <f t="shared" si="4"/>
        <v>FY 2026-2027</v>
      </c>
      <c r="BZ4" s="3" t="str">
        <f t="shared" si="4"/>
        <v>FY 2027-2028</v>
      </c>
      <c r="CA4" s="3" t="str">
        <f t="shared" si="4"/>
        <v>FY 2027-2028</v>
      </c>
      <c r="CB4" s="3" t="str">
        <f t="shared" si="4"/>
        <v>FY 2028-2029</v>
      </c>
      <c r="CD4" s="3" t="str">
        <f t="shared" ref="CD4:CO4" si="5">Q4</f>
        <v>FY 2018-2019</v>
      </c>
      <c r="CE4" s="3" t="str">
        <f t="shared" si="5"/>
        <v>FY 2019-2020</v>
      </c>
      <c r="CF4" s="3" t="str">
        <f t="shared" si="5"/>
        <v>FY 2020-2021</v>
      </c>
      <c r="CG4" s="3" t="str">
        <f t="shared" si="5"/>
        <v>FY 2021-2022</v>
      </c>
      <c r="CH4" s="3" t="str">
        <f t="shared" si="5"/>
        <v>FY 2022-2023</v>
      </c>
      <c r="CI4" s="3" t="str">
        <f t="shared" si="5"/>
        <v>FY 2023-2024</v>
      </c>
      <c r="CJ4" s="3" t="str">
        <f t="shared" si="5"/>
        <v>FY 2024-2025</v>
      </c>
      <c r="CK4" s="3" t="str">
        <f t="shared" si="5"/>
        <v>FY 2025-2026</v>
      </c>
      <c r="CL4" s="3" t="str">
        <f t="shared" si="5"/>
        <v>FY 2026-2027</v>
      </c>
      <c r="CM4" s="3" t="str">
        <f t="shared" si="5"/>
        <v>FY 2027-2028</v>
      </c>
      <c r="CN4" s="3" t="str">
        <f t="shared" si="5"/>
        <v>FY 2027-2028</v>
      </c>
      <c r="CO4" s="3" t="str">
        <f t="shared" si="5"/>
        <v>FY 2028-2029</v>
      </c>
    </row>
    <row r="5" spans="1:107" hidden="1" outlineLevel="1" x14ac:dyDescent="0.25">
      <c r="A5" s="258"/>
      <c r="B5" s="2" t="s">
        <v>366</v>
      </c>
      <c r="D5" s="154">
        <f>Q5+AD5+AQ5+BD5+BQ5+CD5</f>
        <v>3747896.25</v>
      </c>
      <c r="E5" s="154">
        <f t="shared" ref="E5:O20" si="6">R5+AE5+AR5+BE5+BR5+CE5</f>
        <v>4342672.0837500002</v>
      </c>
      <c r="F5" s="154">
        <f t="shared" si="6"/>
        <v>5111811.0943250014</v>
      </c>
      <c r="G5" s="154">
        <f t="shared" si="6"/>
        <v>5472743.2023154525</v>
      </c>
      <c r="H5" s="154">
        <f t="shared" si="6"/>
        <v>5766455.4559400361</v>
      </c>
      <c r="I5" s="154">
        <f t="shared" si="6"/>
        <v>6007049.8564165374</v>
      </c>
      <c r="J5" s="154">
        <f t="shared" si="6"/>
        <v>6275552.1456336193</v>
      </c>
      <c r="K5" s="154">
        <f t="shared" si="6"/>
        <v>6547744.0726345312</v>
      </c>
      <c r="L5" s="154">
        <f t="shared" si="6"/>
        <v>6851039.1519433167</v>
      </c>
      <c r="M5" s="154">
        <f t="shared" si="6"/>
        <v>7158515.3468376501</v>
      </c>
      <c r="N5" s="154">
        <f t="shared" si="6"/>
        <v>7480427.1152223824</v>
      </c>
      <c r="O5" s="154">
        <f>AB5+AO5+BB5+BO5+CB5+CO5</f>
        <v>7819330.644994868</v>
      </c>
      <c r="Q5" s="59">
        <f>Site1!E23</f>
        <v>1421070</v>
      </c>
      <c r="R5" s="59">
        <f>Site1!F23</f>
        <v>1460362.5855</v>
      </c>
      <c r="S5" s="59">
        <f>Site1!G23</f>
        <v>1500164.6245950002</v>
      </c>
      <c r="T5" s="59">
        <f>Site1!H23</f>
        <v>1540481.5488809908</v>
      </c>
      <c r="U5" s="59">
        <f>Site1!I23</f>
        <v>1581318.8427711378</v>
      </c>
      <c r="V5" s="59">
        <f>Site1!J23</f>
        <v>1622682.0439825126</v>
      </c>
      <c r="W5" s="59">
        <f>Site1!K23</f>
        <v>1669530.8414796139</v>
      </c>
      <c r="X5" s="59">
        <f>Site1!L23</f>
        <v>1716991.0950741977</v>
      </c>
      <c r="Y5" s="59">
        <f>Site1!M23</f>
        <v>1765069.341362867</v>
      </c>
      <c r="Z5" s="59">
        <f>Site1!N23</f>
        <v>1813772.1805967684</v>
      </c>
      <c r="AA5" s="59">
        <f>Site1!O23</f>
        <v>1863106.2772687266</v>
      </c>
      <c r="AB5" s="59">
        <f>Site1!P23</f>
        <v>1913078.3607056057</v>
      </c>
      <c r="AD5" s="59">
        <f>Site2!E23</f>
        <v>947379.99999999988</v>
      </c>
      <c r="AE5" s="59">
        <f>Site2!F23</f>
        <v>973575.05700000003</v>
      </c>
      <c r="AF5" s="59">
        <f>Site2!G23</f>
        <v>1000109.74973</v>
      </c>
      <c r="AG5" s="59">
        <f>Site2!H23</f>
        <v>1026987.6992539939</v>
      </c>
      <c r="AH5" s="59">
        <f>Site2!I23</f>
        <v>1054212.5618474253</v>
      </c>
      <c r="AI5" s="59">
        <f>Site2!J23</f>
        <v>1081788.0293216752</v>
      </c>
      <c r="AJ5" s="59">
        <f>Site2!K23</f>
        <v>1109717.8293514349</v>
      </c>
      <c r="AK5" s="59">
        <f>Site2!L23</f>
        <v>1138005.7258049916</v>
      </c>
      <c r="AL5" s="59">
        <f>Site2!M23</f>
        <v>1171684.2066596809</v>
      </c>
      <c r="AM5" s="59">
        <f>Site2!N23</f>
        <v>1205803.8519051143</v>
      </c>
      <c r="AN5" s="59">
        <f>Site2!O23</f>
        <v>1240369.3845926044</v>
      </c>
      <c r="AO5" s="59">
        <f>Site2!P23</f>
        <v>1275385.5738037373</v>
      </c>
      <c r="AQ5" s="59">
        <f>Site3!E23</f>
        <v>408616.25</v>
      </c>
      <c r="AR5" s="59">
        <f>Site3!F23</f>
        <v>532763.48124999995</v>
      </c>
      <c r="AS5" s="59">
        <f>Site3!G23</f>
        <v>585555.49893749994</v>
      </c>
      <c r="AT5" s="59">
        <f>Site3!H23</f>
        <v>619444.52343850792</v>
      </c>
      <c r="AU5" s="59">
        <f>Site3!I23</f>
        <v>653808.94581021555</v>
      </c>
      <c r="AV5" s="59">
        <f>Site3!J23</f>
        <v>693644.23707293277</v>
      </c>
      <c r="AW5" s="59">
        <f>Site3!K23</f>
        <v>734040.28095138888</v>
      </c>
      <c r="AX5" s="59">
        <f>Site3!L23</f>
        <v>775003.2479996864</v>
      </c>
      <c r="AY5" s="59">
        <f>Site3!M23</f>
        <v>821642.74084907933</v>
      </c>
      <c r="AZ5" s="59">
        <f>Site3!N23</f>
        <v>868938.23215851327</v>
      </c>
      <c r="BA5" s="59">
        <f>Site3!O23</f>
        <v>916896.93843341572</v>
      </c>
      <c r="BB5" s="59">
        <f>Site3!P23</f>
        <v>970745.20778378518</v>
      </c>
      <c r="BD5" s="59">
        <f>Site4!E23</f>
        <v>443205</v>
      </c>
      <c r="BE5" s="59">
        <f>Site4!F23</f>
        <v>638843.66</v>
      </c>
      <c r="BF5" s="59">
        <f>Site4!G23</f>
        <v>735514.83403125009</v>
      </c>
      <c r="BG5" s="59">
        <f>Site4!H23</f>
        <v>765396.49284024071</v>
      </c>
      <c r="BH5" s="59">
        <f>Site4!I23</f>
        <v>810181.87623459531</v>
      </c>
      <c r="BI5" s="59">
        <f>Site4!J23</f>
        <v>855595.986827143</v>
      </c>
      <c r="BJ5" s="59">
        <f>Site4!K23</f>
        <v>906599.83380050259</v>
      </c>
      <c r="BK5" s="59">
        <f>Site4!L23</f>
        <v>958320.61120420345</v>
      </c>
      <c r="BL5" s="59">
        <f>Site4!M23</f>
        <v>1015794.8916105388</v>
      </c>
      <c r="BM5" s="59">
        <f>Site4!N23</f>
        <v>1074077.3806885891</v>
      </c>
      <c r="BN5" s="59">
        <f>Site4!O23</f>
        <v>1138281.3693997974</v>
      </c>
      <c r="BO5" s="59">
        <f>Site4!P23</f>
        <v>1203388.0010890102</v>
      </c>
      <c r="BQ5" s="59">
        <f>Site5!E23</f>
        <v>527625</v>
      </c>
      <c r="BR5" s="59">
        <f>Site5!F23</f>
        <v>737127.3</v>
      </c>
      <c r="BS5" s="59">
        <f>Site5!G23</f>
        <v>840588.38175000018</v>
      </c>
      <c r="BT5" s="59">
        <f>Site5!H23</f>
        <v>871970.68804584397</v>
      </c>
      <c r="BU5" s="59">
        <f>Site5!I23</f>
        <v>920344.30002553004</v>
      </c>
      <c r="BV5" s="59">
        <f>Site5!J23</f>
        <v>976419.0654267068</v>
      </c>
      <c r="BW5" s="59">
        <f>Site5!K23</f>
        <v>1033283.1829420249</v>
      </c>
      <c r="BX5" s="59">
        <f>Site5!L23</f>
        <v>1090945.3386476422</v>
      </c>
      <c r="BY5" s="59">
        <f>Site5!M23</f>
        <v>1156598.1439129896</v>
      </c>
      <c r="BZ5" s="59">
        <f>Site5!N23</f>
        <v>1223174.3755820186</v>
      </c>
      <c r="CA5" s="59">
        <f>Site5!O23</f>
        <v>1290684.192080488</v>
      </c>
      <c r="CB5" s="59">
        <f>Site5!P23</f>
        <v>1366484.5433611469</v>
      </c>
      <c r="CD5" s="59">
        <f>Site6!E23</f>
        <v>0</v>
      </c>
      <c r="CE5" s="59">
        <f>Site6!F23</f>
        <v>0</v>
      </c>
      <c r="CF5" s="59">
        <f>Site6!G23</f>
        <v>449878.00528125005</v>
      </c>
      <c r="CG5" s="59">
        <f>Site6!H23</f>
        <v>648462.24985587504</v>
      </c>
      <c r="CH5" s="59">
        <f>Site6!I23</f>
        <v>746588.929251133</v>
      </c>
      <c r="CI5" s="59">
        <f>Site6!J23</f>
        <v>776920.49378556665</v>
      </c>
      <c r="CJ5" s="59">
        <f>Site6!K23</f>
        <v>822380.17710865266</v>
      </c>
      <c r="CK5" s="59">
        <f>Site6!L23</f>
        <v>868478.05390380928</v>
      </c>
      <c r="CL5" s="59">
        <f>Site6!M23</f>
        <v>920249.82754816138</v>
      </c>
      <c r="CM5" s="59">
        <f>Site6!N23</f>
        <v>972749.32590664667</v>
      </c>
      <c r="CN5" s="59">
        <f>Site6!O23</f>
        <v>1031088.9534473501</v>
      </c>
      <c r="CO5" s="59">
        <f>Site6!P23</f>
        <v>1090248.958251582</v>
      </c>
    </row>
    <row r="6" spans="1:107" s="30" customFormat="1" collapsed="1" x14ac:dyDescent="0.25">
      <c r="A6" s="57"/>
      <c r="B6" s="57" t="s">
        <v>427</v>
      </c>
      <c r="D6" s="260">
        <f>Q6+AD6+AQ6+BD6+BQ6+CD6</f>
        <v>3747896.25</v>
      </c>
      <c r="E6" s="260">
        <f t="shared" si="6"/>
        <v>4342672.0837500002</v>
      </c>
      <c r="F6" s="260">
        <f t="shared" si="6"/>
        <v>5111811.0943250014</v>
      </c>
      <c r="G6" s="260">
        <f t="shared" si="6"/>
        <v>5472743.2023154525</v>
      </c>
      <c r="H6" s="260">
        <f t="shared" si="6"/>
        <v>5766455.4559400361</v>
      </c>
      <c r="I6" s="260">
        <f t="shared" si="6"/>
        <v>6007049.8564165374</v>
      </c>
      <c r="J6" s="260">
        <f t="shared" si="6"/>
        <v>6275552.1456336193</v>
      </c>
      <c r="K6" s="260">
        <f t="shared" si="6"/>
        <v>6547744.0726345312</v>
      </c>
      <c r="L6" s="260">
        <f t="shared" si="6"/>
        <v>6851039.1519433167</v>
      </c>
      <c r="M6" s="260">
        <f t="shared" si="6"/>
        <v>7158515.3468376501</v>
      </c>
      <c r="N6" s="260">
        <f t="shared" si="6"/>
        <v>7480427.1152223824</v>
      </c>
      <c r="O6" s="260">
        <f t="shared" si="6"/>
        <v>7819330.644994868</v>
      </c>
      <c r="Q6" s="292">
        <f>Site1!E24</f>
        <v>1421070</v>
      </c>
      <c r="R6" s="292">
        <f>Site1!F24</f>
        <v>1460362.5855</v>
      </c>
      <c r="S6" s="292">
        <f>Site1!G24</f>
        <v>1500164.6245950002</v>
      </c>
      <c r="T6" s="292">
        <f>Site1!H24</f>
        <v>1540481.5488809908</v>
      </c>
      <c r="U6" s="292">
        <f>Site1!I24</f>
        <v>1581318.8427711378</v>
      </c>
      <c r="V6" s="292">
        <f>Site1!J24</f>
        <v>1622682.0439825126</v>
      </c>
      <c r="W6" s="292">
        <f>Site1!K24</f>
        <v>1669530.8414796139</v>
      </c>
      <c r="X6" s="292">
        <f>Site1!L24</f>
        <v>1716991.0950741977</v>
      </c>
      <c r="Y6" s="292">
        <f>Site1!M24</f>
        <v>1765069.341362867</v>
      </c>
      <c r="Z6" s="292">
        <f>Site1!N24</f>
        <v>1813772.1805967684</v>
      </c>
      <c r="AA6" s="292">
        <f>Site1!O24</f>
        <v>1863106.2772687266</v>
      </c>
      <c r="AB6" s="292">
        <f>Site1!P24</f>
        <v>1913078.3607056057</v>
      </c>
      <c r="AD6" s="292">
        <f>Site2!E24</f>
        <v>947379.99999999988</v>
      </c>
      <c r="AE6" s="292">
        <f>Site2!F24</f>
        <v>973575.05700000003</v>
      </c>
      <c r="AF6" s="292">
        <f>Site2!G24</f>
        <v>1000109.74973</v>
      </c>
      <c r="AG6" s="292">
        <f>Site2!H24</f>
        <v>1026987.6992539939</v>
      </c>
      <c r="AH6" s="292">
        <f>Site2!I24</f>
        <v>1054212.5618474253</v>
      </c>
      <c r="AI6" s="292">
        <f>Site2!J24</f>
        <v>1081788.0293216752</v>
      </c>
      <c r="AJ6" s="292">
        <f>Site2!K24</f>
        <v>1109717.8293514349</v>
      </c>
      <c r="AK6" s="292">
        <f>Site2!L24</f>
        <v>1138005.7258049916</v>
      </c>
      <c r="AL6" s="292">
        <f>Site2!M24</f>
        <v>1171684.2066596809</v>
      </c>
      <c r="AM6" s="292">
        <f>Site2!N24</f>
        <v>1205803.8519051143</v>
      </c>
      <c r="AN6" s="292">
        <f>Site2!O24</f>
        <v>1240369.3845926044</v>
      </c>
      <c r="AO6" s="292">
        <f>Site2!P24</f>
        <v>1275385.5738037373</v>
      </c>
      <c r="AQ6" s="292">
        <f>Site3!E24</f>
        <v>408616.25</v>
      </c>
      <c r="AR6" s="292">
        <f>Site3!F24</f>
        <v>532763.48124999995</v>
      </c>
      <c r="AS6" s="292">
        <f>Site3!G24</f>
        <v>585555.49893749994</v>
      </c>
      <c r="AT6" s="292">
        <f>Site3!H24</f>
        <v>619444.52343850792</v>
      </c>
      <c r="AU6" s="292">
        <f>Site3!I24</f>
        <v>653808.94581021555</v>
      </c>
      <c r="AV6" s="292">
        <f>Site3!J24</f>
        <v>693644.23707293277</v>
      </c>
      <c r="AW6" s="292">
        <f>Site3!K24</f>
        <v>734040.28095138888</v>
      </c>
      <c r="AX6" s="292">
        <f>Site3!L24</f>
        <v>775003.2479996864</v>
      </c>
      <c r="AY6" s="292">
        <f>Site3!M24</f>
        <v>821642.74084907933</v>
      </c>
      <c r="AZ6" s="292">
        <f>Site3!N24</f>
        <v>868938.23215851327</v>
      </c>
      <c r="BA6" s="292">
        <f>Site3!O24</f>
        <v>916896.93843341572</v>
      </c>
      <c r="BB6" s="292">
        <f>Site3!P24</f>
        <v>970745.20778378518</v>
      </c>
      <c r="BD6" s="292">
        <f>Site4!E24</f>
        <v>443205</v>
      </c>
      <c r="BE6" s="292">
        <f>Site4!F24</f>
        <v>638843.66</v>
      </c>
      <c r="BF6" s="292">
        <f>Site4!G24</f>
        <v>735514.83403125009</v>
      </c>
      <c r="BG6" s="292">
        <f>Site4!H24</f>
        <v>765396.49284024071</v>
      </c>
      <c r="BH6" s="292">
        <f>Site4!I24</f>
        <v>810181.87623459531</v>
      </c>
      <c r="BI6" s="292">
        <f>Site4!J24</f>
        <v>855595.986827143</v>
      </c>
      <c r="BJ6" s="292">
        <f>Site4!K24</f>
        <v>906599.83380050259</v>
      </c>
      <c r="BK6" s="292">
        <f>Site4!L24</f>
        <v>958320.61120420345</v>
      </c>
      <c r="BL6" s="292">
        <f>Site4!M24</f>
        <v>1015794.8916105388</v>
      </c>
      <c r="BM6" s="292">
        <f>Site4!N24</f>
        <v>1074077.3806885891</v>
      </c>
      <c r="BN6" s="292">
        <f>Site4!O24</f>
        <v>1138281.3693997974</v>
      </c>
      <c r="BO6" s="292">
        <f>Site4!P24</f>
        <v>1203388.0010890102</v>
      </c>
      <c r="BQ6" s="292">
        <f>Site5!E24</f>
        <v>527625</v>
      </c>
      <c r="BR6" s="292">
        <f>Site5!F24</f>
        <v>737127.3</v>
      </c>
      <c r="BS6" s="292">
        <f>Site5!G24</f>
        <v>840588.38175000018</v>
      </c>
      <c r="BT6" s="292">
        <f>Site5!H24</f>
        <v>871970.68804584397</v>
      </c>
      <c r="BU6" s="292">
        <f>Site5!I24</f>
        <v>920344.30002553004</v>
      </c>
      <c r="BV6" s="292">
        <f>Site5!J24</f>
        <v>976419.0654267068</v>
      </c>
      <c r="BW6" s="292">
        <f>Site5!K24</f>
        <v>1033283.1829420249</v>
      </c>
      <c r="BX6" s="292">
        <f>Site5!L24</f>
        <v>1090945.3386476422</v>
      </c>
      <c r="BY6" s="292">
        <f>Site5!M24</f>
        <v>1156598.1439129896</v>
      </c>
      <c r="BZ6" s="292">
        <f>Site5!N24</f>
        <v>1223174.3755820186</v>
      </c>
      <c r="CA6" s="292">
        <f>Site5!O24</f>
        <v>1290684.192080488</v>
      </c>
      <c r="CB6" s="292">
        <f>Site5!P24</f>
        <v>1366484.5433611469</v>
      </c>
      <c r="CD6" s="292">
        <f>Site6!E24</f>
        <v>0</v>
      </c>
      <c r="CE6" s="292">
        <f>Site6!F24</f>
        <v>0</v>
      </c>
      <c r="CF6" s="292">
        <f>Site6!G24</f>
        <v>449878.00528125005</v>
      </c>
      <c r="CG6" s="292">
        <f>Site6!H24</f>
        <v>648462.24985587504</v>
      </c>
      <c r="CH6" s="292">
        <f>Site6!I24</f>
        <v>746588.929251133</v>
      </c>
      <c r="CI6" s="292">
        <f>Site6!J24</f>
        <v>776920.49378556665</v>
      </c>
      <c r="CJ6" s="292">
        <f>Site6!K24</f>
        <v>822380.17710865266</v>
      </c>
      <c r="CK6" s="292">
        <f>Site6!L24</f>
        <v>868478.05390380928</v>
      </c>
      <c r="CL6" s="292">
        <f>Site6!M24</f>
        <v>920249.82754816138</v>
      </c>
      <c r="CM6" s="292">
        <f>Site6!N24</f>
        <v>972749.32590664667</v>
      </c>
      <c r="CN6" s="292">
        <f>Site6!O24</f>
        <v>1031088.9534473501</v>
      </c>
      <c r="CO6" s="292">
        <f>Site6!P24</f>
        <v>1090248.958251582</v>
      </c>
    </row>
    <row r="7" spans="1:107" hidden="1" outlineLevel="1" x14ac:dyDescent="0.25">
      <c r="B7" s="102" t="s">
        <v>209</v>
      </c>
      <c r="D7" s="154">
        <f t="shared" ref="D7:D21" si="7">Q7+AD7+AQ7+BD7+BQ7+CD7</f>
        <v>1237.5</v>
      </c>
      <c r="E7" s="154">
        <f t="shared" si="6"/>
        <v>2041.2</v>
      </c>
      <c r="F7" s="154">
        <f t="shared" si="6"/>
        <v>2289.6</v>
      </c>
      <c r="G7" s="154">
        <f t="shared" si="6"/>
        <v>2313.36</v>
      </c>
      <c r="H7" s="154">
        <f t="shared" si="6"/>
        <v>2423.5200000000004</v>
      </c>
      <c r="I7" s="154">
        <f t="shared" si="6"/>
        <v>2552.04</v>
      </c>
      <c r="J7" s="154">
        <f t="shared" si="6"/>
        <v>2680.5600000000004</v>
      </c>
      <c r="K7" s="154">
        <f t="shared" si="6"/>
        <v>2809.08</v>
      </c>
      <c r="L7" s="154">
        <f t="shared" si="6"/>
        <v>2955.96</v>
      </c>
      <c r="M7" s="154">
        <f t="shared" si="6"/>
        <v>3102.84</v>
      </c>
      <c r="N7" s="154">
        <f t="shared" si="6"/>
        <v>3249.72</v>
      </c>
      <c r="O7" s="154">
        <f t="shared" si="6"/>
        <v>3414.96</v>
      </c>
      <c r="Q7" s="6">
        <f>Site1!E25</f>
        <v>0</v>
      </c>
      <c r="R7" s="6">
        <f>Site1!F25</f>
        <v>0</v>
      </c>
      <c r="S7" s="6">
        <f>Site1!G25</f>
        <v>0</v>
      </c>
      <c r="T7" s="6">
        <f>Site1!H25</f>
        <v>0</v>
      </c>
      <c r="U7" s="6">
        <f>Site1!I25</f>
        <v>0</v>
      </c>
      <c r="V7" s="6">
        <f>Site1!J25</f>
        <v>0</v>
      </c>
      <c r="W7" s="6">
        <f>Site1!K25</f>
        <v>0</v>
      </c>
      <c r="X7" s="6">
        <f>Site1!L25</f>
        <v>0</v>
      </c>
      <c r="Y7" s="6">
        <f>Site1!M25</f>
        <v>0</v>
      </c>
      <c r="Z7" s="6">
        <f>Site1!N25</f>
        <v>0</v>
      </c>
      <c r="AA7" s="6">
        <f>Site1!O25</f>
        <v>0</v>
      </c>
      <c r="AB7" s="6">
        <f>Site1!P25</f>
        <v>0</v>
      </c>
      <c r="AD7" s="6">
        <f>Site2!E25</f>
        <v>0</v>
      </c>
      <c r="AE7" s="6">
        <f>Site2!F25</f>
        <v>0</v>
      </c>
      <c r="AF7" s="6">
        <f>Site2!G25</f>
        <v>0</v>
      </c>
      <c r="AG7" s="6">
        <f>Site2!H25</f>
        <v>0</v>
      </c>
      <c r="AH7" s="6">
        <f>Site2!I25</f>
        <v>0</v>
      </c>
      <c r="AI7" s="6">
        <f>Site2!J25</f>
        <v>0</v>
      </c>
      <c r="AJ7" s="6">
        <f>Site2!K25</f>
        <v>0</v>
      </c>
      <c r="AK7" s="6">
        <f>Site2!L25</f>
        <v>0</v>
      </c>
      <c r="AL7" s="6">
        <f>Site2!M25</f>
        <v>0</v>
      </c>
      <c r="AM7" s="6">
        <f>Site2!N25</f>
        <v>0</v>
      </c>
      <c r="AN7" s="6">
        <f>Site2!O25</f>
        <v>0</v>
      </c>
      <c r="AO7" s="6">
        <f>Site2!P25</f>
        <v>0</v>
      </c>
      <c r="AQ7" s="6">
        <f>Site3!E25</f>
        <v>0</v>
      </c>
      <c r="AR7" s="6">
        <f>Site3!F25</f>
        <v>0</v>
      </c>
      <c r="AS7" s="6">
        <f>Site3!G25</f>
        <v>0</v>
      </c>
      <c r="AT7" s="6">
        <f>Site3!H25</f>
        <v>0</v>
      </c>
      <c r="AU7" s="6">
        <f>Site3!I25</f>
        <v>0</v>
      </c>
      <c r="AV7" s="6">
        <f>Site3!J25</f>
        <v>0</v>
      </c>
      <c r="AW7" s="6">
        <f>Site3!K25</f>
        <v>0</v>
      </c>
      <c r="AX7" s="6">
        <f>Site3!L25</f>
        <v>0</v>
      </c>
      <c r="AY7" s="6">
        <f>Site3!M25</f>
        <v>0</v>
      </c>
      <c r="AZ7" s="6">
        <f>Site3!N25</f>
        <v>0</v>
      </c>
      <c r="BA7" s="6">
        <f>Site3!O25</f>
        <v>0</v>
      </c>
      <c r="BB7" s="6">
        <f>Site3!P25</f>
        <v>0</v>
      </c>
      <c r="BD7" s="6">
        <f>Site4!E25</f>
        <v>0</v>
      </c>
      <c r="BE7" s="6">
        <f>Site4!F25</f>
        <v>0</v>
      </c>
      <c r="BF7" s="6">
        <f>Site4!G25</f>
        <v>0</v>
      </c>
      <c r="BG7" s="6">
        <f>Site4!H25</f>
        <v>0</v>
      </c>
      <c r="BH7" s="6">
        <f>Site4!I25</f>
        <v>0</v>
      </c>
      <c r="BI7" s="6">
        <f>Site4!J25</f>
        <v>0</v>
      </c>
      <c r="BJ7" s="6">
        <f>Site4!K25</f>
        <v>0</v>
      </c>
      <c r="BK7" s="6">
        <f>Site4!L25</f>
        <v>0</v>
      </c>
      <c r="BL7" s="6">
        <f>Site4!M25</f>
        <v>0</v>
      </c>
      <c r="BM7" s="6">
        <f>Site4!N25</f>
        <v>0</v>
      </c>
      <c r="BN7" s="6">
        <f>Site4!O25</f>
        <v>0</v>
      </c>
      <c r="BO7" s="6">
        <f>Site4!P25</f>
        <v>0</v>
      </c>
      <c r="BQ7" s="6">
        <f>Site5!E25</f>
        <v>1237.5</v>
      </c>
      <c r="BR7" s="6">
        <f>Site5!F25</f>
        <v>2041.2</v>
      </c>
      <c r="BS7" s="6">
        <f>Site5!G25</f>
        <v>2289.6</v>
      </c>
      <c r="BT7" s="6">
        <f>Site5!H25</f>
        <v>2313.36</v>
      </c>
      <c r="BU7" s="6">
        <f>Site5!I25</f>
        <v>2423.5200000000004</v>
      </c>
      <c r="BV7" s="6">
        <f>Site5!J25</f>
        <v>2552.04</v>
      </c>
      <c r="BW7" s="6">
        <f>Site5!K25</f>
        <v>2680.5600000000004</v>
      </c>
      <c r="BX7" s="6">
        <f>Site5!L25</f>
        <v>2809.08</v>
      </c>
      <c r="BY7" s="6">
        <f>Site5!M25</f>
        <v>2955.96</v>
      </c>
      <c r="BZ7" s="6">
        <f>Site5!N25</f>
        <v>3102.84</v>
      </c>
      <c r="CA7" s="6">
        <f>Site5!O25</f>
        <v>3249.72</v>
      </c>
      <c r="CB7" s="6">
        <f>Site5!P25</f>
        <v>3414.96</v>
      </c>
      <c r="CD7" s="6">
        <f>Site6!E25</f>
        <v>0</v>
      </c>
      <c r="CE7" s="6">
        <f>Site6!F25</f>
        <v>0</v>
      </c>
      <c r="CF7" s="6">
        <f>Site6!G25</f>
        <v>0</v>
      </c>
      <c r="CG7" s="6">
        <f>Site6!H25</f>
        <v>0</v>
      </c>
      <c r="CH7" s="6">
        <f>Site6!I25</f>
        <v>0</v>
      </c>
      <c r="CI7" s="6">
        <f>Site6!J25</f>
        <v>0</v>
      </c>
      <c r="CJ7" s="6">
        <f>Site6!K25</f>
        <v>0</v>
      </c>
      <c r="CK7" s="6">
        <f>Site6!L25</f>
        <v>0</v>
      </c>
      <c r="CL7" s="6">
        <f>Site6!M25</f>
        <v>0</v>
      </c>
      <c r="CM7" s="6">
        <f>Site6!N25</f>
        <v>0</v>
      </c>
      <c r="CN7" s="6">
        <f>Site6!O25</f>
        <v>0</v>
      </c>
      <c r="CO7" s="6">
        <f>Site6!P25</f>
        <v>0</v>
      </c>
    </row>
    <row r="8" spans="1:107" hidden="1" outlineLevel="1" x14ac:dyDescent="0.25">
      <c r="B8" s="102" t="s">
        <v>151</v>
      </c>
      <c r="D8" s="154">
        <f t="shared" si="7"/>
        <v>0</v>
      </c>
      <c r="E8" s="154">
        <f t="shared" si="6"/>
        <v>0</v>
      </c>
      <c r="F8" s="154">
        <f t="shared" si="6"/>
        <v>0</v>
      </c>
      <c r="G8" s="154">
        <f t="shared" si="6"/>
        <v>0</v>
      </c>
      <c r="H8" s="154">
        <f t="shared" si="6"/>
        <v>0</v>
      </c>
      <c r="I8" s="154">
        <f t="shared" si="6"/>
        <v>0</v>
      </c>
      <c r="J8" s="154">
        <f t="shared" si="6"/>
        <v>0</v>
      </c>
      <c r="K8" s="154">
        <f t="shared" si="6"/>
        <v>0</v>
      </c>
      <c r="L8" s="154">
        <f t="shared" si="6"/>
        <v>0</v>
      </c>
      <c r="M8" s="154">
        <f t="shared" si="6"/>
        <v>0</v>
      </c>
      <c r="N8" s="154">
        <f t="shared" si="6"/>
        <v>0</v>
      </c>
      <c r="O8" s="154">
        <f t="shared" si="6"/>
        <v>0</v>
      </c>
      <c r="Q8" s="6">
        <f>Site1!E26</f>
        <v>0</v>
      </c>
      <c r="R8" s="6">
        <f>Site1!F26</f>
        <v>0</v>
      </c>
      <c r="S8" s="6">
        <f>Site1!G26</f>
        <v>0</v>
      </c>
      <c r="T8" s="6">
        <f>Site1!H26</f>
        <v>0</v>
      </c>
      <c r="U8" s="6">
        <f>Site1!I26</f>
        <v>0</v>
      </c>
      <c r="V8" s="6">
        <f>Site1!J26</f>
        <v>0</v>
      </c>
      <c r="W8" s="6">
        <f>Site1!K26</f>
        <v>0</v>
      </c>
      <c r="X8" s="6">
        <f>Site1!L26</f>
        <v>0</v>
      </c>
      <c r="Y8" s="6">
        <f>Site1!M26</f>
        <v>0</v>
      </c>
      <c r="Z8" s="6">
        <f>Site1!N26</f>
        <v>0</v>
      </c>
      <c r="AA8" s="6">
        <f>Site1!O26</f>
        <v>0</v>
      </c>
      <c r="AB8" s="6">
        <f>Site1!P26</f>
        <v>0</v>
      </c>
      <c r="AD8" s="6">
        <f>Site2!E26</f>
        <v>0</v>
      </c>
      <c r="AE8" s="6">
        <f>Site2!F26</f>
        <v>0</v>
      </c>
      <c r="AF8" s="6">
        <f>Site2!G26</f>
        <v>0</v>
      </c>
      <c r="AG8" s="6">
        <f>Site2!H26</f>
        <v>0</v>
      </c>
      <c r="AH8" s="6">
        <f>Site2!I26</f>
        <v>0</v>
      </c>
      <c r="AI8" s="6">
        <f>Site2!J26</f>
        <v>0</v>
      </c>
      <c r="AJ8" s="6">
        <f>Site2!K26</f>
        <v>0</v>
      </c>
      <c r="AK8" s="6">
        <f>Site2!L26</f>
        <v>0</v>
      </c>
      <c r="AL8" s="6">
        <f>Site2!M26</f>
        <v>0</v>
      </c>
      <c r="AM8" s="6">
        <f>Site2!N26</f>
        <v>0</v>
      </c>
      <c r="AN8" s="6">
        <f>Site2!O26</f>
        <v>0</v>
      </c>
      <c r="AO8" s="6">
        <f>Site2!P26</f>
        <v>0</v>
      </c>
      <c r="AQ8" s="6">
        <f>Site3!E26</f>
        <v>0</v>
      </c>
      <c r="AR8" s="6">
        <f>Site3!F26</f>
        <v>0</v>
      </c>
      <c r="AS8" s="6">
        <f>Site3!G26</f>
        <v>0</v>
      </c>
      <c r="AT8" s="6">
        <f>Site3!H26</f>
        <v>0</v>
      </c>
      <c r="AU8" s="6">
        <f>Site3!I26</f>
        <v>0</v>
      </c>
      <c r="AV8" s="6">
        <f>Site3!J26</f>
        <v>0</v>
      </c>
      <c r="AW8" s="6">
        <f>Site3!K26</f>
        <v>0</v>
      </c>
      <c r="AX8" s="6">
        <f>Site3!L26</f>
        <v>0</v>
      </c>
      <c r="AY8" s="6">
        <f>Site3!M26</f>
        <v>0</v>
      </c>
      <c r="AZ8" s="6">
        <f>Site3!N26</f>
        <v>0</v>
      </c>
      <c r="BA8" s="6">
        <f>Site3!O26</f>
        <v>0</v>
      </c>
      <c r="BB8" s="6">
        <f>Site3!P26</f>
        <v>0</v>
      </c>
      <c r="BD8" s="6">
        <f>Site4!E26</f>
        <v>0</v>
      </c>
      <c r="BE8" s="6">
        <f>Site4!F26</f>
        <v>0</v>
      </c>
      <c r="BF8" s="6">
        <f>Site4!G26</f>
        <v>0</v>
      </c>
      <c r="BG8" s="6">
        <f>Site4!H26</f>
        <v>0</v>
      </c>
      <c r="BH8" s="6">
        <f>Site4!I26</f>
        <v>0</v>
      </c>
      <c r="BI8" s="6">
        <f>Site4!J26</f>
        <v>0</v>
      </c>
      <c r="BJ8" s="6">
        <f>Site4!K26</f>
        <v>0</v>
      </c>
      <c r="BK8" s="6">
        <f>Site4!L26</f>
        <v>0</v>
      </c>
      <c r="BL8" s="6">
        <f>Site4!M26</f>
        <v>0</v>
      </c>
      <c r="BM8" s="6">
        <f>Site4!N26</f>
        <v>0</v>
      </c>
      <c r="BN8" s="6">
        <f>Site4!O26</f>
        <v>0</v>
      </c>
      <c r="BO8" s="6">
        <f>Site4!P26</f>
        <v>0</v>
      </c>
      <c r="BQ8" s="6">
        <f>Site5!E26</f>
        <v>0</v>
      </c>
      <c r="BR8" s="6">
        <f>Site5!F26</f>
        <v>0</v>
      </c>
      <c r="BS8" s="6">
        <f>Site5!G26</f>
        <v>0</v>
      </c>
      <c r="BT8" s="6">
        <f>Site5!H26</f>
        <v>0</v>
      </c>
      <c r="BU8" s="6">
        <f>Site5!I26</f>
        <v>0</v>
      </c>
      <c r="BV8" s="6">
        <f>Site5!J26</f>
        <v>0</v>
      </c>
      <c r="BW8" s="6">
        <f>Site5!K26</f>
        <v>0</v>
      </c>
      <c r="BX8" s="6">
        <f>Site5!L26</f>
        <v>0</v>
      </c>
      <c r="BY8" s="6">
        <f>Site5!M26</f>
        <v>0</v>
      </c>
      <c r="BZ8" s="6">
        <f>Site5!N26</f>
        <v>0</v>
      </c>
      <c r="CA8" s="6">
        <f>Site5!O26</f>
        <v>0</v>
      </c>
      <c r="CB8" s="6">
        <f>Site5!P26</f>
        <v>0</v>
      </c>
      <c r="CD8" s="6">
        <f>Site6!E26</f>
        <v>0</v>
      </c>
      <c r="CE8" s="6">
        <f>Site6!F26</f>
        <v>0</v>
      </c>
      <c r="CF8" s="6">
        <f>Site6!G26</f>
        <v>0</v>
      </c>
      <c r="CG8" s="6">
        <f>Site6!H26</f>
        <v>0</v>
      </c>
      <c r="CH8" s="6">
        <f>Site6!I26</f>
        <v>0</v>
      </c>
      <c r="CI8" s="6">
        <f>Site6!J26</f>
        <v>0</v>
      </c>
      <c r="CJ8" s="6">
        <f>Site6!K26</f>
        <v>0</v>
      </c>
      <c r="CK8" s="6">
        <f>Site6!L26</f>
        <v>0</v>
      </c>
      <c r="CL8" s="6">
        <f>Site6!M26</f>
        <v>0</v>
      </c>
      <c r="CM8" s="6">
        <f>Site6!N26</f>
        <v>0</v>
      </c>
      <c r="CN8" s="6">
        <f>Site6!O26</f>
        <v>0</v>
      </c>
      <c r="CO8" s="6">
        <f>Site6!P26</f>
        <v>0</v>
      </c>
    </row>
    <row r="9" spans="1:107" hidden="1" outlineLevel="1" x14ac:dyDescent="0.25">
      <c r="B9" s="102" t="s">
        <v>271</v>
      </c>
      <c r="D9" s="154">
        <f t="shared" si="7"/>
        <v>4537.5</v>
      </c>
      <c r="E9" s="154">
        <f t="shared" si="6"/>
        <v>4536</v>
      </c>
      <c r="F9" s="154">
        <f t="shared" si="6"/>
        <v>5088</v>
      </c>
      <c r="G9" s="154">
        <f t="shared" si="6"/>
        <v>5140.8</v>
      </c>
      <c r="H9" s="154">
        <f t="shared" si="6"/>
        <v>5385.6</v>
      </c>
      <c r="I9" s="154">
        <f t="shared" si="6"/>
        <v>5671.2</v>
      </c>
      <c r="J9" s="154">
        <f t="shared" si="6"/>
        <v>5956.8000000000011</v>
      </c>
      <c r="K9" s="154">
        <f t="shared" si="6"/>
        <v>6242.4</v>
      </c>
      <c r="L9" s="154">
        <f t="shared" si="6"/>
        <v>6568.8</v>
      </c>
      <c r="M9" s="154">
        <f t="shared" si="6"/>
        <v>6895.2</v>
      </c>
      <c r="N9" s="154">
        <f t="shared" si="6"/>
        <v>7221.5999999999995</v>
      </c>
      <c r="O9" s="154">
        <f t="shared" si="6"/>
        <v>7588.8</v>
      </c>
      <c r="Q9" s="6">
        <f>Site1!E27</f>
        <v>0</v>
      </c>
      <c r="R9" s="6">
        <f>Site1!F27</f>
        <v>0</v>
      </c>
      <c r="S9" s="6">
        <f>Site1!G27</f>
        <v>0</v>
      </c>
      <c r="T9" s="6">
        <f>Site1!H27</f>
        <v>0</v>
      </c>
      <c r="U9" s="6">
        <f>Site1!I27</f>
        <v>0</v>
      </c>
      <c r="V9" s="6">
        <f>Site1!J27</f>
        <v>0</v>
      </c>
      <c r="W9" s="6">
        <f>Site1!K27</f>
        <v>0</v>
      </c>
      <c r="X9" s="6">
        <f>Site1!L27</f>
        <v>0</v>
      </c>
      <c r="Y9" s="6">
        <f>Site1!M27</f>
        <v>0</v>
      </c>
      <c r="Z9" s="6">
        <f>Site1!N27</f>
        <v>0</v>
      </c>
      <c r="AA9" s="6">
        <f>Site1!O27</f>
        <v>0</v>
      </c>
      <c r="AB9" s="6">
        <f>Site1!P27</f>
        <v>0</v>
      </c>
      <c r="AD9" s="6">
        <f>Site2!E27</f>
        <v>0</v>
      </c>
      <c r="AE9" s="6">
        <f>Site2!F27</f>
        <v>0</v>
      </c>
      <c r="AF9" s="6">
        <f>Site2!G27</f>
        <v>0</v>
      </c>
      <c r="AG9" s="6">
        <f>Site2!H27</f>
        <v>0</v>
      </c>
      <c r="AH9" s="6">
        <f>Site2!I27</f>
        <v>0</v>
      </c>
      <c r="AI9" s="6">
        <f>Site2!J27</f>
        <v>0</v>
      </c>
      <c r="AJ9" s="6">
        <f>Site2!K27</f>
        <v>0</v>
      </c>
      <c r="AK9" s="6">
        <f>Site2!L27</f>
        <v>0</v>
      </c>
      <c r="AL9" s="6">
        <f>Site2!M27</f>
        <v>0</v>
      </c>
      <c r="AM9" s="6">
        <f>Site2!N27</f>
        <v>0</v>
      </c>
      <c r="AN9" s="6">
        <f>Site2!O27</f>
        <v>0</v>
      </c>
      <c r="AO9" s="6">
        <f>Site2!P27</f>
        <v>0</v>
      </c>
      <c r="AQ9" s="6">
        <f>Site3!E27</f>
        <v>0</v>
      </c>
      <c r="AR9" s="6">
        <f>Site3!F27</f>
        <v>0</v>
      </c>
      <c r="AS9" s="6">
        <f>Site3!G27</f>
        <v>0</v>
      </c>
      <c r="AT9" s="6">
        <f>Site3!H27</f>
        <v>0</v>
      </c>
      <c r="AU9" s="6">
        <f>Site3!I27</f>
        <v>0</v>
      </c>
      <c r="AV9" s="6">
        <f>Site3!J27</f>
        <v>0</v>
      </c>
      <c r="AW9" s="6">
        <f>Site3!K27</f>
        <v>0</v>
      </c>
      <c r="AX9" s="6">
        <f>Site3!L27</f>
        <v>0</v>
      </c>
      <c r="AY9" s="6">
        <f>Site3!M27</f>
        <v>0</v>
      </c>
      <c r="AZ9" s="6">
        <f>Site3!N27</f>
        <v>0</v>
      </c>
      <c r="BA9" s="6">
        <f>Site3!O27</f>
        <v>0</v>
      </c>
      <c r="BB9" s="6">
        <f>Site3!P27</f>
        <v>0</v>
      </c>
      <c r="BD9" s="6">
        <f>Site4!E27</f>
        <v>0</v>
      </c>
      <c r="BE9" s="6">
        <f>Site4!F27</f>
        <v>0</v>
      </c>
      <c r="BF9" s="6">
        <f>Site4!G27</f>
        <v>0</v>
      </c>
      <c r="BG9" s="6">
        <f>Site4!H27</f>
        <v>0</v>
      </c>
      <c r="BH9" s="6">
        <f>Site4!I27</f>
        <v>0</v>
      </c>
      <c r="BI9" s="6">
        <f>Site4!J27</f>
        <v>0</v>
      </c>
      <c r="BJ9" s="6">
        <f>Site4!K27</f>
        <v>0</v>
      </c>
      <c r="BK9" s="6">
        <f>Site4!L27</f>
        <v>0</v>
      </c>
      <c r="BL9" s="6">
        <f>Site4!M27</f>
        <v>0</v>
      </c>
      <c r="BM9" s="6">
        <f>Site4!N27</f>
        <v>0</v>
      </c>
      <c r="BN9" s="6">
        <f>Site4!O27</f>
        <v>0</v>
      </c>
      <c r="BO9" s="6">
        <f>Site4!P27</f>
        <v>0</v>
      </c>
      <c r="BQ9" s="6">
        <f>Site5!E27</f>
        <v>4537.5</v>
      </c>
      <c r="BR9" s="6">
        <f>Site5!F27</f>
        <v>4536</v>
      </c>
      <c r="BS9" s="6">
        <f>Site5!G27</f>
        <v>5088</v>
      </c>
      <c r="BT9" s="6">
        <f>Site5!H27</f>
        <v>5140.8</v>
      </c>
      <c r="BU9" s="6">
        <f>Site5!I27</f>
        <v>5385.6</v>
      </c>
      <c r="BV9" s="6">
        <f>Site5!J27</f>
        <v>5671.2</v>
      </c>
      <c r="BW9" s="6">
        <f>Site5!K27</f>
        <v>5956.8000000000011</v>
      </c>
      <c r="BX9" s="6">
        <f>Site5!L27</f>
        <v>6242.4</v>
      </c>
      <c r="BY9" s="6">
        <f>Site5!M27</f>
        <v>6568.8</v>
      </c>
      <c r="BZ9" s="6">
        <f>Site5!N27</f>
        <v>6895.2</v>
      </c>
      <c r="CA9" s="6">
        <f>Site5!O27</f>
        <v>7221.5999999999995</v>
      </c>
      <c r="CB9" s="6">
        <f>Site5!P27</f>
        <v>7588.8</v>
      </c>
      <c r="CD9" s="6">
        <f>Site6!E27</f>
        <v>0</v>
      </c>
      <c r="CE9" s="6">
        <f>Site6!F27</f>
        <v>0</v>
      </c>
      <c r="CF9" s="6">
        <f>Site6!G27</f>
        <v>0</v>
      </c>
      <c r="CG9" s="6">
        <f>Site6!H27</f>
        <v>0</v>
      </c>
      <c r="CH9" s="6">
        <f>Site6!I27</f>
        <v>0</v>
      </c>
      <c r="CI9" s="6">
        <f>Site6!J27</f>
        <v>0</v>
      </c>
      <c r="CJ9" s="6">
        <f>Site6!K27</f>
        <v>0</v>
      </c>
      <c r="CK9" s="6">
        <f>Site6!L27</f>
        <v>0</v>
      </c>
      <c r="CL9" s="6">
        <f>Site6!M27</f>
        <v>0</v>
      </c>
      <c r="CM9" s="6">
        <f>Site6!N27</f>
        <v>0</v>
      </c>
      <c r="CN9" s="6">
        <f>Site6!O27</f>
        <v>0</v>
      </c>
      <c r="CO9" s="6">
        <f>Site6!P27</f>
        <v>0</v>
      </c>
    </row>
    <row r="10" spans="1:107" hidden="1" outlineLevel="1" x14ac:dyDescent="0.25">
      <c r="B10" s="102" t="s">
        <v>369</v>
      </c>
      <c r="D10" s="154">
        <f t="shared" si="7"/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0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154">
        <f t="shared" si="6"/>
        <v>0</v>
      </c>
      <c r="Q10" s="6">
        <f>Site1!E28</f>
        <v>0</v>
      </c>
      <c r="R10" s="6">
        <f>Site1!F28</f>
        <v>0</v>
      </c>
      <c r="S10" s="6">
        <f>Site1!G28</f>
        <v>0</v>
      </c>
      <c r="T10" s="6">
        <f>Site1!H28</f>
        <v>0</v>
      </c>
      <c r="U10" s="6">
        <f>Site1!I28</f>
        <v>0</v>
      </c>
      <c r="V10" s="6">
        <f>Site1!J28</f>
        <v>0</v>
      </c>
      <c r="W10" s="6">
        <f>Site1!K28</f>
        <v>0</v>
      </c>
      <c r="X10" s="6">
        <f>Site1!L28</f>
        <v>0</v>
      </c>
      <c r="Y10" s="6">
        <f>Site1!M28</f>
        <v>0</v>
      </c>
      <c r="Z10" s="6">
        <f>Site1!N28</f>
        <v>0</v>
      </c>
      <c r="AA10" s="6">
        <f>Site1!O28</f>
        <v>0</v>
      </c>
      <c r="AB10" s="6">
        <f>Site1!P28</f>
        <v>0</v>
      </c>
      <c r="AD10" s="6">
        <f>Site2!E28</f>
        <v>0</v>
      </c>
      <c r="AE10" s="6">
        <f>Site2!F28</f>
        <v>0</v>
      </c>
      <c r="AF10" s="6">
        <f>Site2!G28</f>
        <v>0</v>
      </c>
      <c r="AG10" s="6">
        <f>Site2!H28</f>
        <v>0</v>
      </c>
      <c r="AH10" s="6">
        <f>Site2!I28</f>
        <v>0</v>
      </c>
      <c r="AI10" s="6">
        <f>Site2!J28</f>
        <v>0</v>
      </c>
      <c r="AJ10" s="6">
        <f>Site2!K28</f>
        <v>0</v>
      </c>
      <c r="AK10" s="6">
        <f>Site2!L28</f>
        <v>0</v>
      </c>
      <c r="AL10" s="6">
        <f>Site2!M28</f>
        <v>0</v>
      </c>
      <c r="AM10" s="6">
        <f>Site2!N28</f>
        <v>0</v>
      </c>
      <c r="AN10" s="6">
        <f>Site2!O28</f>
        <v>0</v>
      </c>
      <c r="AO10" s="6">
        <f>Site2!P28</f>
        <v>0</v>
      </c>
      <c r="AQ10" s="6">
        <f>Site3!E28</f>
        <v>0</v>
      </c>
      <c r="AR10" s="6">
        <f>Site3!F28</f>
        <v>0</v>
      </c>
      <c r="AS10" s="6">
        <f>Site3!G28</f>
        <v>0</v>
      </c>
      <c r="AT10" s="6">
        <f>Site3!H28</f>
        <v>0</v>
      </c>
      <c r="AU10" s="6">
        <f>Site3!I28</f>
        <v>0</v>
      </c>
      <c r="AV10" s="6">
        <f>Site3!J28</f>
        <v>0</v>
      </c>
      <c r="AW10" s="6">
        <f>Site3!K28</f>
        <v>0</v>
      </c>
      <c r="AX10" s="6">
        <f>Site3!L28</f>
        <v>0</v>
      </c>
      <c r="AY10" s="6">
        <f>Site3!M28</f>
        <v>0</v>
      </c>
      <c r="AZ10" s="6">
        <f>Site3!N28</f>
        <v>0</v>
      </c>
      <c r="BA10" s="6">
        <f>Site3!O28</f>
        <v>0</v>
      </c>
      <c r="BB10" s="6">
        <f>Site3!P28</f>
        <v>0</v>
      </c>
      <c r="BD10" s="6">
        <f>Site4!E28</f>
        <v>0</v>
      </c>
      <c r="BE10" s="6">
        <f>Site4!F28</f>
        <v>0</v>
      </c>
      <c r="BF10" s="6">
        <f>Site4!G28</f>
        <v>0</v>
      </c>
      <c r="BG10" s="6">
        <f>Site4!H28</f>
        <v>0</v>
      </c>
      <c r="BH10" s="6">
        <f>Site4!I28</f>
        <v>0</v>
      </c>
      <c r="BI10" s="6">
        <f>Site4!J28</f>
        <v>0</v>
      </c>
      <c r="BJ10" s="6">
        <f>Site4!K28</f>
        <v>0</v>
      </c>
      <c r="BK10" s="6">
        <f>Site4!L28</f>
        <v>0</v>
      </c>
      <c r="BL10" s="6">
        <f>Site4!M28</f>
        <v>0</v>
      </c>
      <c r="BM10" s="6">
        <f>Site4!N28</f>
        <v>0</v>
      </c>
      <c r="BN10" s="6">
        <f>Site4!O28</f>
        <v>0</v>
      </c>
      <c r="BO10" s="6">
        <f>Site4!P28</f>
        <v>0</v>
      </c>
      <c r="BQ10" s="6">
        <f>Site5!E28</f>
        <v>0</v>
      </c>
      <c r="BR10" s="6">
        <f>Site5!F28</f>
        <v>0</v>
      </c>
      <c r="BS10" s="6">
        <f>Site5!G28</f>
        <v>0</v>
      </c>
      <c r="BT10" s="6">
        <f>Site5!H28</f>
        <v>0</v>
      </c>
      <c r="BU10" s="6">
        <f>Site5!I28</f>
        <v>0</v>
      </c>
      <c r="BV10" s="6">
        <f>Site5!J28</f>
        <v>0</v>
      </c>
      <c r="BW10" s="6">
        <f>Site5!K28</f>
        <v>0</v>
      </c>
      <c r="BX10" s="6">
        <f>Site5!L28</f>
        <v>0</v>
      </c>
      <c r="BY10" s="6">
        <f>Site5!M28</f>
        <v>0</v>
      </c>
      <c r="BZ10" s="6">
        <f>Site5!N28</f>
        <v>0</v>
      </c>
      <c r="CA10" s="6">
        <f>Site5!O28</f>
        <v>0</v>
      </c>
      <c r="CB10" s="6">
        <f>Site5!P28</f>
        <v>0</v>
      </c>
      <c r="CD10" s="6">
        <f>Site6!E28</f>
        <v>0</v>
      </c>
      <c r="CE10" s="6">
        <f>Site6!F28</f>
        <v>0</v>
      </c>
      <c r="CF10" s="6">
        <f>Site6!G28</f>
        <v>0</v>
      </c>
      <c r="CG10" s="6">
        <f>Site6!H28</f>
        <v>0</v>
      </c>
      <c r="CH10" s="6">
        <f>Site6!I28</f>
        <v>0</v>
      </c>
      <c r="CI10" s="6">
        <f>Site6!J28</f>
        <v>0</v>
      </c>
      <c r="CJ10" s="6">
        <f>Site6!K28</f>
        <v>0</v>
      </c>
      <c r="CK10" s="6">
        <f>Site6!L28</f>
        <v>0</v>
      </c>
      <c r="CL10" s="6">
        <f>Site6!M28</f>
        <v>0</v>
      </c>
      <c r="CM10" s="6">
        <f>Site6!N28</f>
        <v>0</v>
      </c>
      <c r="CN10" s="6">
        <f>Site6!O28</f>
        <v>0</v>
      </c>
      <c r="CO10" s="6">
        <f>Site6!P28</f>
        <v>0</v>
      </c>
    </row>
    <row r="11" spans="1:107" s="121" customFormat="1" collapsed="1" x14ac:dyDescent="0.25">
      <c r="B11" s="259" t="s">
        <v>428</v>
      </c>
      <c r="C11" s="16"/>
      <c r="D11" s="260">
        <f t="shared" si="7"/>
        <v>5775</v>
      </c>
      <c r="E11" s="260">
        <f t="shared" si="6"/>
        <v>6577.2</v>
      </c>
      <c r="F11" s="260">
        <f t="shared" si="6"/>
        <v>7377.6</v>
      </c>
      <c r="G11" s="260">
        <f t="shared" si="6"/>
        <v>7454.16</v>
      </c>
      <c r="H11" s="260">
        <f t="shared" si="6"/>
        <v>7809.1200000000008</v>
      </c>
      <c r="I11" s="260">
        <f t="shared" si="6"/>
        <v>8223.24</v>
      </c>
      <c r="J11" s="260">
        <f t="shared" si="6"/>
        <v>8637.36</v>
      </c>
      <c r="K11" s="260">
        <f t="shared" si="6"/>
        <v>9051.48</v>
      </c>
      <c r="L11" s="260">
        <f t="shared" si="6"/>
        <v>9524.76</v>
      </c>
      <c r="M11" s="260">
        <f t="shared" si="6"/>
        <v>9998.0400000000009</v>
      </c>
      <c r="N11" s="260">
        <f t="shared" si="6"/>
        <v>10471.32</v>
      </c>
      <c r="O11" s="260">
        <f t="shared" si="6"/>
        <v>11003.76</v>
      </c>
      <c r="P11" s="16"/>
      <c r="Q11" s="261">
        <f>Site1!E29</f>
        <v>0</v>
      </c>
      <c r="R11" s="261">
        <f>Site1!F29</f>
        <v>0</v>
      </c>
      <c r="S11" s="261">
        <f>Site1!G29</f>
        <v>0</v>
      </c>
      <c r="T11" s="261">
        <f>Site1!H29</f>
        <v>0</v>
      </c>
      <c r="U11" s="261">
        <f>Site1!I29</f>
        <v>0</v>
      </c>
      <c r="V11" s="261">
        <f>Site1!J29</f>
        <v>0</v>
      </c>
      <c r="W11" s="261">
        <f>Site1!K29</f>
        <v>0</v>
      </c>
      <c r="X11" s="261">
        <f>Site1!L29</f>
        <v>0</v>
      </c>
      <c r="Y11" s="261">
        <f>Site1!M29</f>
        <v>0</v>
      </c>
      <c r="Z11" s="261">
        <f>Site1!N29</f>
        <v>0</v>
      </c>
      <c r="AA11" s="261">
        <f>Site1!O29</f>
        <v>0</v>
      </c>
      <c r="AB11" s="261">
        <f>Site1!P29</f>
        <v>0</v>
      </c>
      <c r="AC11" s="16"/>
      <c r="AD11" s="261">
        <f>Site2!E29</f>
        <v>0</v>
      </c>
      <c r="AE11" s="261">
        <f>Site2!F29</f>
        <v>0</v>
      </c>
      <c r="AF11" s="261">
        <f>Site2!G29</f>
        <v>0</v>
      </c>
      <c r="AG11" s="261">
        <f>Site2!H29</f>
        <v>0</v>
      </c>
      <c r="AH11" s="261">
        <f>Site2!I29</f>
        <v>0</v>
      </c>
      <c r="AI11" s="261">
        <f>Site2!J29</f>
        <v>0</v>
      </c>
      <c r="AJ11" s="261">
        <f>Site2!K29</f>
        <v>0</v>
      </c>
      <c r="AK11" s="261">
        <f>Site2!L29</f>
        <v>0</v>
      </c>
      <c r="AL11" s="261">
        <f>Site2!M29</f>
        <v>0</v>
      </c>
      <c r="AM11" s="261">
        <f>Site2!N29</f>
        <v>0</v>
      </c>
      <c r="AN11" s="261">
        <f>Site2!O29</f>
        <v>0</v>
      </c>
      <c r="AO11" s="261">
        <f>Site2!P29</f>
        <v>0</v>
      </c>
      <c r="AQ11" s="261">
        <f>Site3!E29</f>
        <v>0</v>
      </c>
      <c r="AR11" s="261">
        <f>Site3!F29</f>
        <v>0</v>
      </c>
      <c r="AS11" s="261">
        <f>Site3!G29</f>
        <v>0</v>
      </c>
      <c r="AT11" s="261">
        <f>Site3!H29</f>
        <v>0</v>
      </c>
      <c r="AU11" s="261">
        <f>Site3!I29</f>
        <v>0</v>
      </c>
      <c r="AV11" s="261">
        <f>Site3!J29</f>
        <v>0</v>
      </c>
      <c r="AW11" s="261">
        <f>Site3!K29</f>
        <v>0</v>
      </c>
      <c r="AX11" s="261">
        <f>Site3!L29</f>
        <v>0</v>
      </c>
      <c r="AY11" s="261">
        <f>Site3!M29</f>
        <v>0</v>
      </c>
      <c r="AZ11" s="261">
        <f>Site3!N29</f>
        <v>0</v>
      </c>
      <c r="BA11" s="261">
        <f>Site3!O29</f>
        <v>0</v>
      </c>
      <c r="BB11" s="261">
        <f>Site3!P29</f>
        <v>0</v>
      </c>
      <c r="BD11" s="261">
        <f>Site4!E29</f>
        <v>0</v>
      </c>
      <c r="BE11" s="261">
        <f>Site4!F29</f>
        <v>0</v>
      </c>
      <c r="BF11" s="261">
        <f>Site4!G29</f>
        <v>0</v>
      </c>
      <c r="BG11" s="261">
        <f>Site4!H29</f>
        <v>0</v>
      </c>
      <c r="BH11" s="261">
        <f>Site4!I29</f>
        <v>0</v>
      </c>
      <c r="BI11" s="261">
        <f>Site4!J29</f>
        <v>0</v>
      </c>
      <c r="BJ11" s="261">
        <f>Site4!K29</f>
        <v>0</v>
      </c>
      <c r="BK11" s="261">
        <f>Site4!L29</f>
        <v>0</v>
      </c>
      <c r="BL11" s="261">
        <f>Site4!M29</f>
        <v>0</v>
      </c>
      <c r="BM11" s="261">
        <f>Site4!N29</f>
        <v>0</v>
      </c>
      <c r="BN11" s="261">
        <f>Site4!O29</f>
        <v>0</v>
      </c>
      <c r="BO11" s="261">
        <f>Site4!P29</f>
        <v>0</v>
      </c>
      <c r="BQ11" s="261">
        <f>Site5!E29</f>
        <v>5775</v>
      </c>
      <c r="BR11" s="261">
        <f>Site5!F29</f>
        <v>6577.2</v>
      </c>
      <c r="BS11" s="261">
        <f>Site5!G29</f>
        <v>7377.6</v>
      </c>
      <c r="BT11" s="261">
        <f>Site5!H29</f>
        <v>7454.16</v>
      </c>
      <c r="BU11" s="261">
        <f>Site5!I29</f>
        <v>7809.1200000000008</v>
      </c>
      <c r="BV11" s="261">
        <f>Site5!J29</f>
        <v>8223.24</v>
      </c>
      <c r="BW11" s="261">
        <f>Site5!K29</f>
        <v>8637.36</v>
      </c>
      <c r="BX11" s="261">
        <f>Site5!L29</f>
        <v>9051.48</v>
      </c>
      <c r="BY11" s="261">
        <f>Site5!M29</f>
        <v>9524.76</v>
      </c>
      <c r="BZ11" s="261">
        <f>Site5!N29</f>
        <v>9998.0400000000009</v>
      </c>
      <c r="CA11" s="261">
        <f>Site5!O29</f>
        <v>10471.32</v>
      </c>
      <c r="CB11" s="261">
        <f>Site5!P29</f>
        <v>11003.76</v>
      </c>
      <c r="CD11" s="261">
        <f>Site6!E29</f>
        <v>0</v>
      </c>
      <c r="CE11" s="261">
        <f>Site6!F29</f>
        <v>0</v>
      </c>
      <c r="CF11" s="261">
        <f>Site6!G29</f>
        <v>0</v>
      </c>
      <c r="CG11" s="261">
        <f>Site6!H29</f>
        <v>0</v>
      </c>
      <c r="CH11" s="261">
        <f>Site6!I29</f>
        <v>0</v>
      </c>
      <c r="CI11" s="261">
        <f>Site6!J29</f>
        <v>0</v>
      </c>
      <c r="CJ11" s="261">
        <f>Site6!K29</f>
        <v>0</v>
      </c>
      <c r="CK11" s="261">
        <f>Site6!L29</f>
        <v>0</v>
      </c>
      <c r="CL11" s="261">
        <f>Site6!M29</f>
        <v>0</v>
      </c>
      <c r="CM11" s="261">
        <f>Site6!N29</f>
        <v>0</v>
      </c>
      <c r="CN11" s="261">
        <f>Site6!O29</f>
        <v>0</v>
      </c>
      <c r="CO11" s="261">
        <f>Site6!P29</f>
        <v>0</v>
      </c>
      <c r="CP11" s="16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</row>
    <row r="12" spans="1:107" s="6" customFormat="1" hidden="1" outlineLevel="1" x14ac:dyDescent="0.25">
      <c r="B12" s="144" t="s">
        <v>155</v>
      </c>
      <c r="C12" s="2"/>
      <c r="D12" s="154">
        <f t="shared" si="7"/>
        <v>1237.5</v>
      </c>
      <c r="E12" s="154">
        <f t="shared" si="6"/>
        <v>2041.2</v>
      </c>
      <c r="F12" s="154">
        <f t="shared" si="6"/>
        <v>2289.6</v>
      </c>
      <c r="G12" s="154">
        <f t="shared" si="6"/>
        <v>2313.36</v>
      </c>
      <c r="H12" s="154">
        <f t="shared" si="6"/>
        <v>2423.5200000000004</v>
      </c>
      <c r="I12" s="154">
        <f t="shared" si="6"/>
        <v>2552.04</v>
      </c>
      <c r="J12" s="154">
        <f t="shared" si="6"/>
        <v>2680.5600000000004</v>
      </c>
      <c r="K12" s="154">
        <f t="shared" si="6"/>
        <v>2809.08</v>
      </c>
      <c r="L12" s="154">
        <f t="shared" si="6"/>
        <v>2955.96</v>
      </c>
      <c r="M12" s="154">
        <f t="shared" si="6"/>
        <v>3102.84</v>
      </c>
      <c r="N12" s="154">
        <f t="shared" si="6"/>
        <v>3249.72</v>
      </c>
      <c r="O12" s="154">
        <f t="shared" si="6"/>
        <v>3414.96</v>
      </c>
      <c r="P12" s="2"/>
      <c r="Q12" s="107">
        <f>Site1!E30</f>
        <v>0</v>
      </c>
      <c r="R12" s="107">
        <f>Site1!F30</f>
        <v>0</v>
      </c>
      <c r="S12" s="107">
        <f>Site1!G30</f>
        <v>0</v>
      </c>
      <c r="T12" s="107">
        <f>Site1!H30</f>
        <v>0</v>
      </c>
      <c r="U12" s="107">
        <f>Site1!I30</f>
        <v>0</v>
      </c>
      <c r="V12" s="107">
        <f>Site1!J30</f>
        <v>0</v>
      </c>
      <c r="W12" s="107">
        <f>Site1!K30</f>
        <v>0</v>
      </c>
      <c r="X12" s="107">
        <f>Site1!L30</f>
        <v>0</v>
      </c>
      <c r="Y12" s="107">
        <f>Site1!M30</f>
        <v>0</v>
      </c>
      <c r="Z12" s="107">
        <f>Site1!N30</f>
        <v>0</v>
      </c>
      <c r="AA12" s="107">
        <f>Site1!O30</f>
        <v>0</v>
      </c>
      <c r="AB12" s="107">
        <f>Site1!P30</f>
        <v>0</v>
      </c>
      <c r="AC12" s="2"/>
      <c r="AD12" s="107">
        <f>Site2!E30</f>
        <v>0</v>
      </c>
      <c r="AE12" s="107">
        <f>Site2!F30</f>
        <v>0</v>
      </c>
      <c r="AF12" s="107">
        <f>Site2!G30</f>
        <v>0</v>
      </c>
      <c r="AG12" s="107">
        <f>Site2!H30</f>
        <v>0</v>
      </c>
      <c r="AH12" s="107">
        <f>Site2!I30</f>
        <v>0</v>
      </c>
      <c r="AI12" s="107">
        <f>Site2!J30</f>
        <v>0</v>
      </c>
      <c r="AJ12" s="107">
        <f>Site2!K30</f>
        <v>0</v>
      </c>
      <c r="AK12" s="107">
        <f>Site2!L30</f>
        <v>0</v>
      </c>
      <c r="AL12" s="107">
        <f>Site2!M30</f>
        <v>0</v>
      </c>
      <c r="AM12" s="107">
        <f>Site2!N30</f>
        <v>0</v>
      </c>
      <c r="AN12" s="107">
        <f>Site2!O30</f>
        <v>0</v>
      </c>
      <c r="AO12" s="107">
        <f>Site2!P30</f>
        <v>0</v>
      </c>
      <c r="AQ12" s="107">
        <f>Site3!E30</f>
        <v>0</v>
      </c>
      <c r="AR12" s="107">
        <f>Site3!F30</f>
        <v>0</v>
      </c>
      <c r="AS12" s="107">
        <f>Site3!G30</f>
        <v>0</v>
      </c>
      <c r="AT12" s="107">
        <f>Site3!H30</f>
        <v>0</v>
      </c>
      <c r="AU12" s="107">
        <f>Site3!I30</f>
        <v>0</v>
      </c>
      <c r="AV12" s="107">
        <f>Site3!J30</f>
        <v>0</v>
      </c>
      <c r="AW12" s="107">
        <f>Site3!K30</f>
        <v>0</v>
      </c>
      <c r="AX12" s="107">
        <f>Site3!L30</f>
        <v>0</v>
      </c>
      <c r="AY12" s="107">
        <f>Site3!M30</f>
        <v>0</v>
      </c>
      <c r="AZ12" s="107">
        <f>Site3!N30</f>
        <v>0</v>
      </c>
      <c r="BA12" s="107">
        <f>Site3!O30</f>
        <v>0</v>
      </c>
      <c r="BB12" s="107">
        <f>Site3!P30</f>
        <v>0</v>
      </c>
      <c r="BD12" s="107">
        <f>Site4!E30</f>
        <v>0</v>
      </c>
      <c r="BE12" s="107">
        <f>Site4!F30</f>
        <v>0</v>
      </c>
      <c r="BF12" s="107">
        <f>Site4!G30</f>
        <v>0</v>
      </c>
      <c r="BG12" s="107">
        <f>Site4!H30</f>
        <v>0</v>
      </c>
      <c r="BH12" s="107">
        <f>Site4!I30</f>
        <v>0</v>
      </c>
      <c r="BI12" s="107">
        <f>Site4!J30</f>
        <v>0</v>
      </c>
      <c r="BJ12" s="107">
        <f>Site4!K30</f>
        <v>0</v>
      </c>
      <c r="BK12" s="107">
        <f>Site4!L30</f>
        <v>0</v>
      </c>
      <c r="BL12" s="107">
        <f>Site4!M30</f>
        <v>0</v>
      </c>
      <c r="BM12" s="107">
        <f>Site4!N30</f>
        <v>0</v>
      </c>
      <c r="BN12" s="107">
        <f>Site4!O30</f>
        <v>0</v>
      </c>
      <c r="BO12" s="107">
        <f>Site4!P30</f>
        <v>0</v>
      </c>
      <c r="BQ12" s="107">
        <f>Site5!E30</f>
        <v>1237.5</v>
      </c>
      <c r="BR12" s="107">
        <f>Site5!F30</f>
        <v>2041.2</v>
      </c>
      <c r="BS12" s="107">
        <f>Site5!G30</f>
        <v>2289.6</v>
      </c>
      <c r="BT12" s="107">
        <f>Site5!H30</f>
        <v>2313.36</v>
      </c>
      <c r="BU12" s="107">
        <f>Site5!I30</f>
        <v>2423.5200000000004</v>
      </c>
      <c r="BV12" s="107">
        <f>Site5!J30</f>
        <v>2552.04</v>
      </c>
      <c r="BW12" s="107">
        <f>Site5!K30</f>
        <v>2680.5600000000004</v>
      </c>
      <c r="BX12" s="107">
        <f>Site5!L30</f>
        <v>2809.08</v>
      </c>
      <c r="BY12" s="107">
        <f>Site5!M30</f>
        <v>2955.96</v>
      </c>
      <c r="BZ12" s="107">
        <f>Site5!N30</f>
        <v>3102.84</v>
      </c>
      <c r="CA12" s="107">
        <f>Site5!O30</f>
        <v>3249.72</v>
      </c>
      <c r="CB12" s="107">
        <f>Site5!P30</f>
        <v>3414.96</v>
      </c>
      <c r="CD12" s="6">
        <f>Site6!E30</f>
        <v>0</v>
      </c>
      <c r="CE12" s="6">
        <f>Site6!F30</f>
        <v>0</v>
      </c>
      <c r="CF12" s="6">
        <f>Site6!G30</f>
        <v>0</v>
      </c>
      <c r="CG12" s="6">
        <f>Site6!H30</f>
        <v>0</v>
      </c>
      <c r="CH12" s="6">
        <f>Site6!I30</f>
        <v>0</v>
      </c>
      <c r="CI12" s="6">
        <f>Site6!J30</f>
        <v>0</v>
      </c>
      <c r="CJ12" s="6">
        <f>Site6!K30</f>
        <v>0</v>
      </c>
      <c r="CK12" s="6">
        <f>Site6!L30</f>
        <v>0</v>
      </c>
      <c r="CL12" s="6">
        <f>Site6!M30</f>
        <v>0</v>
      </c>
      <c r="CM12" s="6">
        <f>Site6!N30</f>
        <v>0</v>
      </c>
      <c r="CN12" s="6">
        <f>Site6!O30</f>
        <v>0</v>
      </c>
      <c r="CO12" s="6">
        <f>Site6!P30</f>
        <v>0</v>
      </c>
      <c r="CP12" s="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s="6" customFormat="1" hidden="1" outlineLevel="1" x14ac:dyDescent="0.25">
      <c r="B13" s="144" t="s">
        <v>363</v>
      </c>
      <c r="C13" s="2"/>
      <c r="D13" s="154">
        <f t="shared" si="7"/>
        <v>0</v>
      </c>
      <c r="E13" s="154">
        <f t="shared" si="6"/>
        <v>0</v>
      </c>
      <c r="F13" s="154">
        <f t="shared" si="6"/>
        <v>0</v>
      </c>
      <c r="G13" s="154">
        <f t="shared" si="6"/>
        <v>0</v>
      </c>
      <c r="H13" s="154">
        <f t="shared" si="6"/>
        <v>0</v>
      </c>
      <c r="I13" s="154">
        <f t="shared" si="6"/>
        <v>0</v>
      </c>
      <c r="J13" s="154">
        <f t="shared" si="6"/>
        <v>0</v>
      </c>
      <c r="K13" s="154">
        <f t="shared" si="6"/>
        <v>0</v>
      </c>
      <c r="L13" s="154">
        <f t="shared" si="6"/>
        <v>0</v>
      </c>
      <c r="M13" s="154">
        <f t="shared" si="6"/>
        <v>0</v>
      </c>
      <c r="N13" s="154">
        <f t="shared" si="6"/>
        <v>0</v>
      </c>
      <c r="O13" s="154">
        <f t="shared" si="6"/>
        <v>0</v>
      </c>
      <c r="P13" s="2"/>
      <c r="Q13" s="107">
        <f>Site1!E31</f>
        <v>0</v>
      </c>
      <c r="R13" s="107">
        <f>Site1!F31</f>
        <v>0</v>
      </c>
      <c r="S13" s="107">
        <f>Site1!G31</f>
        <v>0</v>
      </c>
      <c r="T13" s="107">
        <f>Site1!H31</f>
        <v>0</v>
      </c>
      <c r="U13" s="107">
        <f>Site1!I31</f>
        <v>0</v>
      </c>
      <c r="V13" s="107">
        <f>Site1!J31</f>
        <v>0</v>
      </c>
      <c r="W13" s="107">
        <f>Site1!K31</f>
        <v>0</v>
      </c>
      <c r="X13" s="107">
        <f>Site1!L31</f>
        <v>0</v>
      </c>
      <c r="Y13" s="107">
        <f>Site1!M31</f>
        <v>0</v>
      </c>
      <c r="Z13" s="107">
        <f>Site1!N31</f>
        <v>0</v>
      </c>
      <c r="AA13" s="107">
        <f>Site1!O31</f>
        <v>0</v>
      </c>
      <c r="AB13" s="107">
        <f>Site1!P31</f>
        <v>0</v>
      </c>
      <c r="AC13" s="2"/>
      <c r="AD13" s="107">
        <f>Site2!E31</f>
        <v>0</v>
      </c>
      <c r="AE13" s="107">
        <f>Site2!F31</f>
        <v>0</v>
      </c>
      <c r="AF13" s="107">
        <f>Site2!G31</f>
        <v>0</v>
      </c>
      <c r="AG13" s="107">
        <f>Site2!H31</f>
        <v>0</v>
      </c>
      <c r="AH13" s="107">
        <f>Site2!I31</f>
        <v>0</v>
      </c>
      <c r="AI13" s="107">
        <f>Site2!J31</f>
        <v>0</v>
      </c>
      <c r="AJ13" s="107">
        <f>Site2!K31</f>
        <v>0</v>
      </c>
      <c r="AK13" s="107">
        <f>Site2!L31</f>
        <v>0</v>
      </c>
      <c r="AL13" s="107">
        <f>Site2!M31</f>
        <v>0</v>
      </c>
      <c r="AM13" s="107">
        <f>Site2!N31</f>
        <v>0</v>
      </c>
      <c r="AN13" s="107">
        <f>Site2!O31</f>
        <v>0</v>
      </c>
      <c r="AO13" s="107">
        <f>Site2!P31</f>
        <v>0</v>
      </c>
      <c r="AQ13" s="107">
        <f>Site3!E31</f>
        <v>0</v>
      </c>
      <c r="AR13" s="107">
        <f>Site3!F31</f>
        <v>0</v>
      </c>
      <c r="AS13" s="107">
        <f>Site3!G31</f>
        <v>0</v>
      </c>
      <c r="AT13" s="107">
        <f>Site3!H31</f>
        <v>0</v>
      </c>
      <c r="AU13" s="107">
        <f>Site3!I31</f>
        <v>0</v>
      </c>
      <c r="AV13" s="107">
        <f>Site3!J31</f>
        <v>0</v>
      </c>
      <c r="AW13" s="107">
        <f>Site3!K31</f>
        <v>0</v>
      </c>
      <c r="AX13" s="107">
        <f>Site3!L31</f>
        <v>0</v>
      </c>
      <c r="AY13" s="107">
        <f>Site3!M31</f>
        <v>0</v>
      </c>
      <c r="AZ13" s="107">
        <f>Site3!N31</f>
        <v>0</v>
      </c>
      <c r="BA13" s="107">
        <f>Site3!O31</f>
        <v>0</v>
      </c>
      <c r="BB13" s="107">
        <f>Site3!P31</f>
        <v>0</v>
      </c>
      <c r="BD13" s="107">
        <f>Site4!E31</f>
        <v>0</v>
      </c>
      <c r="BE13" s="107">
        <f>Site4!F31</f>
        <v>0</v>
      </c>
      <c r="BF13" s="107">
        <f>Site4!G31</f>
        <v>0</v>
      </c>
      <c r="BG13" s="107">
        <f>Site4!H31</f>
        <v>0</v>
      </c>
      <c r="BH13" s="107">
        <f>Site4!I31</f>
        <v>0</v>
      </c>
      <c r="BI13" s="107">
        <f>Site4!J31</f>
        <v>0</v>
      </c>
      <c r="BJ13" s="107">
        <f>Site4!K31</f>
        <v>0</v>
      </c>
      <c r="BK13" s="107">
        <f>Site4!L31</f>
        <v>0</v>
      </c>
      <c r="BL13" s="107">
        <f>Site4!M31</f>
        <v>0</v>
      </c>
      <c r="BM13" s="107">
        <f>Site4!N31</f>
        <v>0</v>
      </c>
      <c r="BN13" s="107">
        <f>Site4!O31</f>
        <v>0</v>
      </c>
      <c r="BO13" s="107">
        <f>Site4!P31</f>
        <v>0</v>
      </c>
      <c r="BQ13" s="107">
        <f>Site5!E31</f>
        <v>0</v>
      </c>
      <c r="BR13" s="107">
        <f>Site5!F31</f>
        <v>0</v>
      </c>
      <c r="BS13" s="107">
        <f>Site5!G31</f>
        <v>0</v>
      </c>
      <c r="BT13" s="107">
        <f>Site5!H31</f>
        <v>0</v>
      </c>
      <c r="BU13" s="107">
        <f>Site5!I31</f>
        <v>0</v>
      </c>
      <c r="BV13" s="107">
        <f>Site5!J31</f>
        <v>0</v>
      </c>
      <c r="BW13" s="107">
        <f>Site5!K31</f>
        <v>0</v>
      </c>
      <c r="BX13" s="107">
        <f>Site5!L31</f>
        <v>0</v>
      </c>
      <c r="BY13" s="107">
        <f>Site5!M31</f>
        <v>0</v>
      </c>
      <c r="BZ13" s="107">
        <f>Site5!N31</f>
        <v>0</v>
      </c>
      <c r="CA13" s="107">
        <f>Site5!O31</f>
        <v>0</v>
      </c>
      <c r="CB13" s="107">
        <f>Site5!P31</f>
        <v>0</v>
      </c>
      <c r="CD13" s="6">
        <f>Site6!E31</f>
        <v>0</v>
      </c>
      <c r="CE13" s="6">
        <f>Site6!F31</f>
        <v>0</v>
      </c>
      <c r="CF13" s="6">
        <f>Site6!G31</f>
        <v>0</v>
      </c>
      <c r="CG13" s="6">
        <f>Site6!H31</f>
        <v>0</v>
      </c>
      <c r="CH13" s="6">
        <f>Site6!I31</f>
        <v>0</v>
      </c>
      <c r="CI13" s="6">
        <f>Site6!J31</f>
        <v>0</v>
      </c>
      <c r="CJ13" s="6">
        <f>Site6!K31</f>
        <v>0</v>
      </c>
      <c r="CK13" s="6">
        <f>Site6!L31</f>
        <v>0</v>
      </c>
      <c r="CL13" s="6">
        <f>Site6!M31</f>
        <v>0</v>
      </c>
      <c r="CM13" s="6">
        <f>Site6!N31</f>
        <v>0</v>
      </c>
      <c r="CN13" s="6">
        <f>Site6!O31</f>
        <v>0</v>
      </c>
      <c r="CO13" s="6">
        <f>Site6!P31</f>
        <v>0</v>
      </c>
      <c r="CP13" s="2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s="6" customFormat="1" hidden="1" outlineLevel="1" x14ac:dyDescent="0.25">
      <c r="B14" s="144" t="s">
        <v>364</v>
      </c>
      <c r="C14" s="2"/>
      <c r="D14" s="154">
        <f t="shared" si="7"/>
        <v>0</v>
      </c>
      <c r="E14" s="154">
        <f t="shared" si="6"/>
        <v>0</v>
      </c>
      <c r="F14" s="154">
        <f t="shared" si="6"/>
        <v>0</v>
      </c>
      <c r="G14" s="154">
        <f t="shared" si="6"/>
        <v>0</v>
      </c>
      <c r="H14" s="154">
        <f t="shared" si="6"/>
        <v>0</v>
      </c>
      <c r="I14" s="154">
        <f t="shared" si="6"/>
        <v>0</v>
      </c>
      <c r="J14" s="154">
        <f t="shared" si="6"/>
        <v>0</v>
      </c>
      <c r="K14" s="154">
        <f t="shared" si="6"/>
        <v>0</v>
      </c>
      <c r="L14" s="154">
        <f t="shared" si="6"/>
        <v>0</v>
      </c>
      <c r="M14" s="154">
        <f t="shared" si="6"/>
        <v>0</v>
      </c>
      <c r="N14" s="154">
        <f t="shared" si="6"/>
        <v>0</v>
      </c>
      <c r="O14" s="154">
        <f t="shared" si="6"/>
        <v>0</v>
      </c>
      <c r="P14" s="2"/>
      <c r="Q14" s="107">
        <f>Site1!E32</f>
        <v>0</v>
      </c>
      <c r="R14" s="107">
        <f>Site1!F32</f>
        <v>0</v>
      </c>
      <c r="S14" s="107">
        <f>Site1!G32</f>
        <v>0</v>
      </c>
      <c r="T14" s="107">
        <f>Site1!H32</f>
        <v>0</v>
      </c>
      <c r="U14" s="107">
        <f>Site1!I32</f>
        <v>0</v>
      </c>
      <c r="V14" s="107">
        <f>Site1!J32</f>
        <v>0</v>
      </c>
      <c r="W14" s="107">
        <f>Site1!K32</f>
        <v>0</v>
      </c>
      <c r="X14" s="107">
        <f>Site1!L32</f>
        <v>0</v>
      </c>
      <c r="Y14" s="107">
        <f>Site1!M32</f>
        <v>0</v>
      </c>
      <c r="Z14" s="107">
        <f>Site1!N32</f>
        <v>0</v>
      </c>
      <c r="AA14" s="107">
        <f>Site1!O32</f>
        <v>0</v>
      </c>
      <c r="AB14" s="107">
        <f>Site1!P32</f>
        <v>0</v>
      </c>
      <c r="AC14" s="2"/>
      <c r="AD14" s="107">
        <f>Site2!E32</f>
        <v>0</v>
      </c>
      <c r="AE14" s="107">
        <f>Site2!F32</f>
        <v>0</v>
      </c>
      <c r="AF14" s="107">
        <f>Site2!G32</f>
        <v>0</v>
      </c>
      <c r="AG14" s="107">
        <f>Site2!H32</f>
        <v>0</v>
      </c>
      <c r="AH14" s="107">
        <f>Site2!I32</f>
        <v>0</v>
      </c>
      <c r="AI14" s="107">
        <f>Site2!J32</f>
        <v>0</v>
      </c>
      <c r="AJ14" s="107">
        <f>Site2!K32</f>
        <v>0</v>
      </c>
      <c r="AK14" s="107">
        <f>Site2!L32</f>
        <v>0</v>
      </c>
      <c r="AL14" s="107">
        <f>Site2!M32</f>
        <v>0</v>
      </c>
      <c r="AM14" s="107">
        <f>Site2!N32</f>
        <v>0</v>
      </c>
      <c r="AN14" s="107">
        <f>Site2!O32</f>
        <v>0</v>
      </c>
      <c r="AO14" s="107">
        <f>Site2!P32</f>
        <v>0</v>
      </c>
      <c r="AQ14" s="107">
        <f>Site3!E32</f>
        <v>0</v>
      </c>
      <c r="AR14" s="107">
        <f>Site3!F32</f>
        <v>0</v>
      </c>
      <c r="AS14" s="107">
        <f>Site3!G32</f>
        <v>0</v>
      </c>
      <c r="AT14" s="107">
        <f>Site3!H32</f>
        <v>0</v>
      </c>
      <c r="AU14" s="107">
        <f>Site3!I32</f>
        <v>0</v>
      </c>
      <c r="AV14" s="107">
        <f>Site3!J32</f>
        <v>0</v>
      </c>
      <c r="AW14" s="107">
        <f>Site3!K32</f>
        <v>0</v>
      </c>
      <c r="AX14" s="107">
        <f>Site3!L32</f>
        <v>0</v>
      </c>
      <c r="AY14" s="107">
        <f>Site3!M32</f>
        <v>0</v>
      </c>
      <c r="AZ14" s="107">
        <f>Site3!N32</f>
        <v>0</v>
      </c>
      <c r="BA14" s="107">
        <f>Site3!O32</f>
        <v>0</v>
      </c>
      <c r="BB14" s="107">
        <f>Site3!P32</f>
        <v>0</v>
      </c>
      <c r="BD14" s="107">
        <f>Site4!E32</f>
        <v>0</v>
      </c>
      <c r="BE14" s="107">
        <f>Site4!F32</f>
        <v>0</v>
      </c>
      <c r="BF14" s="107">
        <f>Site4!G32</f>
        <v>0</v>
      </c>
      <c r="BG14" s="107">
        <f>Site4!H32</f>
        <v>0</v>
      </c>
      <c r="BH14" s="107">
        <f>Site4!I32</f>
        <v>0</v>
      </c>
      <c r="BI14" s="107">
        <f>Site4!J32</f>
        <v>0</v>
      </c>
      <c r="BJ14" s="107">
        <f>Site4!K32</f>
        <v>0</v>
      </c>
      <c r="BK14" s="107">
        <f>Site4!L32</f>
        <v>0</v>
      </c>
      <c r="BL14" s="107">
        <f>Site4!M32</f>
        <v>0</v>
      </c>
      <c r="BM14" s="107">
        <f>Site4!N32</f>
        <v>0</v>
      </c>
      <c r="BN14" s="107">
        <f>Site4!O32</f>
        <v>0</v>
      </c>
      <c r="BO14" s="107">
        <f>Site4!P32</f>
        <v>0</v>
      </c>
      <c r="BQ14" s="107">
        <f>Site5!E32</f>
        <v>0</v>
      </c>
      <c r="BR14" s="107">
        <f>Site5!F32</f>
        <v>0</v>
      </c>
      <c r="BS14" s="107">
        <f>Site5!G32</f>
        <v>0</v>
      </c>
      <c r="BT14" s="107">
        <f>Site5!H32</f>
        <v>0</v>
      </c>
      <c r="BU14" s="107">
        <f>Site5!I32</f>
        <v>0</v>
      </c>
      <c r="BV14" s="107">
        <f>Site5!J32</f>
        <v>0</v>
      </c>
      <c r="BW14" s="107">
        <f>Site5!K32</f>
        <v>0</v>
      </c>
      <c r="BX14" s="107">
        <f>Site5!L32</f>
        <v>0</v>
      </c>
      <c r="BY14" s="107">
        <f>Site5!M32</f>
        <v>0</v>
      </c>
      <c r="BZ14" s="107">
        <f>Site5!N32</f>
        <v>0</v>
      </c>
      <c r="CA14" s="107">
        <f>Site5!O32</f>
        <v>0</v>
      </c>
      <c r="CB14" s="107">
        <f>Site5!P32</f>
        <v>0</v>
      </c>
      <c r="CD14" s="6">
        <f>Site6!E32</f>
        <v>0</v>
      </c>
      <c r="CE14" s="6">
        <f>Site6!F32</f>
        <v>0</v>
      </c>
      <c r="CF14" s="6">
        <f>Site6!G32</f>
        <v>0</v>
      </c>
      <c r="CG14" s="6">
        <f>Site6!H32</f>
        <v>0</v>
      </c>
      <c r="CH14" s="6">
        <f>Site6!I32</f>
        <v>0</v>
      </c>
      <c r="CI14" s="6">
        <f>Site6!J32</f>
        <v>0</v>
      </c>
      <c r="CJ14" s="6">
        <f>Site6!K32</f>
        <v>0</v>
      </c>
      <c r="CK14" s="6">
        <f>Site6!L32</f>
        <v>0</v>
      </c>
      <c r="CL14" s="6">
        <f>Site6!M32</f>
        <v>0</v>
      </c>
      <c r="CM14" s="6">
        <f>Site6!N32</f>
        <v>0</v>
      </c>
      <c r="CN14" s="6">
        <f>Site6!O32</f>
        <v>0</v>
      </c>
      <c r="CO14" s="6">
        <f>Site6!P32</f>
        <v>0</v>
      </c>
      <c r="CP14" s="2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s="6" customFormat="1" hidden="1" outlineLevel="1" x14ac:dyDescent="0.25">
      <c r="B15" s="144" t="s">
        <v>365</v>
      </c>
      <c r="C15" s="2"/>
      <c r="D15" s="154">
        <f t="shared" si="7"/>
        <v>0</v>
      </c>
      <c r="E15" s="154">
        <f t="shared" si="6"/>
        <v>0</v>
      </c>
      <c r="F15" s="154">
        <f t="shared" si="6"/>
        <v>0</v>
      </c>
      <c r="G15" s="154">
        <f t="shared" si="6"/>
        <v>0</v>
      </c>
      <c r="H15" s="154">
        <f t="shared" si="6"/>
        <v>0</v>
      </c>
      <c r="I15" s="154">
        <f t="shared" si="6"/>
        <v>0</v>
      </c>
      <c r="J15" s="154">
        <f t="shared" si="6"/>
        <v>0</v>
      </c>
      <c r="K15" s="154">
        <f t="shared" si="6"/>
        <v>0</v>
      </c>
      <c r="L15" s="154">
        <f t="shared" si="6"/>
        <v>0</v>
      </c>
      <c r="M15" s="154">
        <f t="shared" si="6"/>
        <v>0</v>
      </c>
      <c r="N15" s="154">
        <f t="shared" si="6"/>
        <v>0</v>
      </c>
      <c r="O15" s="154">
        <f t="shared" si="6"/>
        <v>0</v>
      </c>
      <c r="P15" s="2"/>
      <c r="Q15" s="107">
        <f>Site1!E33</f>
        <v>0</v>
      </c>
      <c r="R15" s="107">
        <f>Site1!F33</f>
        <v>0</v>
      </c>
      <c r="S15" s="107">
        <f>Site1!G33</f>
        <v>0</v>
      </c>
      <c r="T15" s="107">
        <f>Site1!H33</f>
        <v>0</v>
      </c>
      <c r="U15" s="107">
        <f>Site1!I33</f>
        <v>0</v>
      </c>
      <c r="V15" s="107">
        <f>Site1!J33</f>
        <v>0</v>
      </c>
      <c r="W15" s="107">
        <f>Site1!K33</f>
        <v>0</v>
      </c>
      <c r="X15" s="107">
        <f>Site1!L33</f>
        <v>0</v>
      </c>
      <c r="Y15" s="107">
        <f>Site1!M33</f>
        <v>0</v>
      </c>
      <c r="Z15" s="107">
        <f>Site1!N33</f>
        <v>0</v>
      </c>
      <c r="AA15" s="107">
        <f>Site1!O33</f>
        <v>0</v>
      </c>
      <c r="AB15" s="107">
        <f>Site1!P33</f>
        <v>0</v>
      </c>
      <c r="AC15" s="2"/>
      <c r="AD15" s="107">
        <f>Site2!E33</f>
        <v>0</v>
      </c>
      <c r="AE15" s="107">
        <f>Site2!F33</f>
        <v>0</v>
      </c>
      <c r="AF15" s="107">
        <f>Site2!G33</f>
        <v>0</v>
      </c>
      <c r="AG15" s="107">
        <f>Site2!H33</f>
        <v>0</v>
      </c>
      <c r="AH15" s="107">
        <f>Site2!I33</f>
        <v>0</v>
      </c>
      <c r="AI15" s="107">
        <f>Site2!J33</f>
        <v>0</v>
      </c>
      <c r="AJ15" s="107">
        <f>Site2!K33</f>
        <v>0</v>
      </c>
      <c r="AK15" s="107">
        <f>Site2!L33</f>
        <v>0</v>
      </c>
      <c r="AL15" s="107">
        <f>Site2!M33</f>
        <v>0</v>
      </c>
      <c r="AM15" s="107">
        <f>Site2!N33</f>
        <v>0</v>
      </c>
      <c r="AN15" s="107">
        <f>Site2!O33</f>
        <v>0</v>
      </c>
      <c r="AO15" s="107">
        <f>Site2!P33</f>
        <v>0</v>
      </c>
      <c r="AQ15" s="107">
        <f>Site3!E33</f>
        <v>0</v>
      </c>
      <c r="AR15" s="107">
        <f>Site3!F33</f>
        <v>0</v>
      </c>
      <c r="AS15" s="107">
        <f>Site3!G33</f>
        <v>0</v>
      </c>
      <c r="AT15" s="107">
        <f>Site3!H33</f>
        <v>0</v>
      </c>
      <c r="AU15" s="107">
        <f>Site3!I33</f>
        <v>0</v>
      </c>
      <c r="AV15" s="107">
        <f>Site3!J33</f>
        <v>0</v>
      </c>
      <c r="AW15" s="107">
        <f>Site3!K33</f>
        <v>0</v>
      </c>
      <c r="AX15" s="107">
        <f>Site3!L33</f>
        <v>0</v>
      </c>
      <c r="AY15" s="107">
        <f>Site3!M33</f>
        <v>0</v>
      </c>
      <c r="AZ15" s="107">
        <f>Site3!N33</f>
        <v>0</v>
      </c>
      <c r="BA15" s="107">
        <f>Site3!O33</f>
        <v>0</v>
      </c>
      <c r="BB15" s="107">
        <f>Site3!P33</f>
        <v>0</v>
      </c>
      <c r="BD15" s="107">
        <f>Site4!E33</f>
        <v>0</v>
      </c>
      <c r="BE15" s="107">
        <f>Site4!F33</f>
        <v>0</v>
      </c>
      <c r="BF15" s="107">
        <f>Site4!G33</f>
        <v>0</v>
      </c>
      <c r="BG15" s="107">
        <f>Site4!H33</f>
        <v>0</v>
      </c>
      <c r="BH15" s="107">
        <f>Site4!I33</f>
        <v>0</v>
      </c>
      <c r="BI15" s="107">
        <f>Site4!J33</f>
        <v>0</v>
      </c>
      <c r="BJ15" s="107">
        <f>Site4!K33</f>
        <v>0</v>
      </c>
      <c r="BK15" s="107">
        <f>Site4!L33</f>
        <v>0</v>
      </c>
      <c r="BL15" s="107">
        <f>Site4!M33</f>
        <v>0</v>
      </c>
      <c r="BM15" s="107">
        <f>Site4!N33</f>
        <v>0</v>
      </c>
      <c r="BN15" s="107">
        <f>Site4!O33</f>
        <v>0</v>
      </c>
      <c r="BO15" s="107">
        <f>Site4!P33</f>
        <v>0</v>
      </c>
      <c r="BQ15" s="107">
        <f>Site5!E33</f>
        <v>0</v>
      </c>
      <c r="BR15" s="107">
        <f>Site5!F33</f>
        <v>0</v>
      </c>
      <c r="BS15" s="107">
        <f>Site5!G33</f>
        <v>0</v>
      </c>
      <c r="BT15" s="107">
        <f>Site5!H33</f>
        <v>0</v>
      </c>
      <c r="BU15" s="107">
        <f>Site5!I33</f>
        <v>0</v>
      </c>
      <c r="BV15" s="107">
        <f>Site5!J33</f>
        <v>0</v>
      </c>
      <c r="BW15" s="107">
        <f>Site5!K33</f>
        <v>0</v>
      </c>
      <c r="BX15" s="107">
        <f>Site5!L33</f>
        <v>0</v>
      </c>
      <c r="BY15" s="107">
        <f>Site5!M33</f>
        <v>0</v>
      </c>
      <c r="BZ15" s="107">
        <f>Site5!N33</f>
        <v>0</v>
      </c>
      <c r="CA15" s="107">
        <f>Site5!O33</f>
        <v>0</v>
      </c>
      <c r="CB15" s="107">
        <f>Site5!P33</f>
        <v>0</v>
      </c>
      <c r="CD15" s="6">
        <f>Site6!E33</f>
        <v>0</v>
      </c>
      <c r="CE15" s="6">
        <f>Site6!F33</f>
        <v>0</v>
      </c>
      <c r="CF15" s="6">
        <f>Site6!G33</f>
        <v>0</v>
      </c>
      <c r="CG15" s="6">
        <f>Site6!H33</f>
        <v>0</v>
      </c>
      <c r="CH15" s="6">
        <f>Site6!I33</f>
        <v>0</v>
      </c>
      <c r="CI15" s="6">
        <f>Site6!J33</f>
        <v>0</v>
      </c>
      <c r="CJ15" s="6">
        <f>Site6!K33</f>
        <v>0</v>
      </c>
      <c r="CK15" s="6">
        <f>Site6!L33</f>
        <v>0</v>
      </c>
      <c r="CL15" s="6">
        <f>Site6!M33</f>
        <v>0</v>
      </c>
      <c r="CM15" s="6">
        <f>Site6!N33</f>
        <v>0</v>
      </c>
      <c r="CN15" s="6">
        <f>Site6!O33</f>
        <v>0</v>
      </c>
      <c r="CO15" s="6">
        <f>Site6!P33</f>
        <v>0</v>
      </c>
      <c r="CP15" s="2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s="121" customFormat="1" collapsed="1" x14ac:dyDescent="0.25">
      <c r="B16" s="259" t="s">
        <v>208</v>
      </c>
      <c r="C16" s="16"/>
      <c r="D16" s="260">
        <f t="shared" si="7"/>
        <v>1237.5</v>
      </c>
      <c r="E16" s="260">
        <f t="shared" si="6"/>
        <v>2041.2</v>
      </c>
      <c r="F16" s="260">
        <f t="shared" si="6"/>
        <v>2289.6</v>
      </c>
      <c r="G16" s="260">
        <f t="shared" si="6"/>
        <v>2313.36</v>
      </c>
      <c r="H16" s="260">
        <f t="shared" si="6"/>
        <v>2423.5200000000004</v>
      </c>
      <c r="I16" s="260">
        <f t="shared" si="6"/>
        <v>2552.04</v>
      </c>
      <c r="J16" s="260">
        <f t="shared" si="6"/>
        <v>2680.5600000000004</v>
      </c>
      <c r="K16" s="260">
        <f t="shared" si="6"/>
        <v>2809.08</v>
      </c>
      <c r="L16" s="260">
        <f t="shared" si="6"/>
        <v>2955.96</v>
      </c>
      <c r="M16" s="260">
        <f t="shared" si="6"/>
        <v>3102.84</v>
      </c>
      <c r="N16" s="260">
        <f t="shared" si="6"/>
        <v>3249.72</v>
      </c>
      <c r="O16" s="260">
        <f t="shared" si="6"/>
        <v>3414.96</v>
      </c>
      <c r="P16" s="16"/>
      <c r="Q16" s="261">
        <f>Site1!E34</f>
        <v>0</v>
      </c>
      <c r="R16" s="261">
        <f>Site1!F34</f>
        <v>0</v>
      </c>
      <c r="S16" s="261">
        <f>Site1!G34</f>
        <v>0</v>
      </c>
      <c r="T16" s="261">
        <f>Site1!H34</f>
        <v>0</v>
      </c>
      <c r="U16" s="261">
        <f>Site1!I34</f>
        <v>0</v>
      </c>
      <c r="V16" s="261">
        <f>Site1!J34</f>
        <v>0</v>
      </c>
      <c r="W16" s="261">
        <f>Site1!K34</f>
        <v>0</v>
      </c>
      <c r="X16" s="261">
        <f>Site1!L34</f>
        <v>0</v>
      </c>
      <c r="Y16" s="261">
        <f>Site1!M34</f>
        <v>0</v>
      </c>
      <c r="Z16" s="261">
        <f>Site1!N34</f>
        <v>0</v>
      </c>
      <c r="AA16" s="261">
        <f>Site1!O34</f>
        <v>0</v>
      </c>
      <c r="AB16" s="261">
        <f>Site1!P34</f>
        <v>0</v>
      </c>
      <c r="AC16" s="16"/>
      <c r="AD16" s="261">
        <f>Site2!E34</f>
        <v>0</v>
      </c>
      <c r="AE16" s="261">
        <f>Site2!F34</f>
        <v>0</v>
      </c>
      <c r="AF16" s="261">
        <f>Site2!G34</f>
        <v>0</v>
      </c>
      <c r="AG16" s="261">
        <f>Site2!H34</f>
        <v>0</v>
      </c>
      <c r="AH16" s="261">
        <f>Site2!I34</f>
        <v>0</v>
      </c>
      <c r="AI16" s="261">
        <f>Site2!J34</f>
        <v>0</v>
      </c>
      <c r="AJ16" s="261">
        <f>Site2!K34</f>
        <v>0</v>
      </c>
      <c r="AK16" s="261">
        <f>Site2!L34</f>
        <v>0</v>
      </c>
      <c r="AL16" s="261">
        <f>Site2!M34</f>
        <v>0</v>
      </c>
      <c r="AM16" s="261">
        <f>Site2!N34</f>
        <v>0</v>
      </c>
      <c r="AN16" s="261">
        <f>Site2!O34</f>
        <v>0</v>
      </c>
      <c r="AO16" s="261">
        <f>Site2!P34</f>
        <v>0</v>
      </c>
      <c r="AQ16" s="261">
        <f>Site3!E34</f>
        <v>0</v>
      </c>
      <c r="AR16" s="261">
        <f>Site3!F34</f>
        <v>0</v>
      </c>
      <c r="AS16" s="261">
        <f>Site3!G34</f>
        <v>0</v>
      </c>
      <c r="AT16" s="261">
        <f>Site3!H34</f>
        <v>0</v>
      </c>
      <c r="AU16" s="261">
        <f>Site3!I34</f>
        <v>0</v>
      </c>
      <c r="AV16" s="261">
        <f>Site3!J34</f>
        <v>0</v>
      </c>
      <c r="AW16" s="261">
        <f>Site3!K34</f>
        <v>0</v>
      </c>
      <c r="AX16" s="261">
        <f>Site3!L34</f>
        <v>0</v>
      </c>
      <c r="AY16" s="261">
        <f>Site3!M34</f>
        <v>0</v>
      </c>
      <c r="AZ16" s="261">
        <f>Site3!N34</f>
        <v>0</v>
      </c>
      <c r="BA16" s="261">
        <f>Site3!O34</f>
        <v>0</v>
      </c>
      <c r="BB16" s="261">
        <f>Site3!P34</f>
        <v>0</v>
      </c>
      <c r="BD16" s="261">
        <f>Site4!E34</f>
        <v>0</v>
      </c>
      <c r="BE16" s="261">
        <f>Site4!F34</f>
        <v>0</v>
      </c>
      <c r="BF16" s="261">
        <f>Site4!G34</f>
        <v>0</v>
      </c>
      <c r="BG16" s="261">
        <f>Site4!H34</f>
        <v>0</v>
      </c>
      <c r="BH16" s="261">
        <f>Site4!I34</f>
        <v>0</v>
      </c>
      <c r="BI16" s="261">
        <f>Site4!J34</f>
        <v>0</v>
      </c>
      <c r="BJ16" s="261">
        <f>Site4!K34</f>
        <v>0</v>
      </c>
      <c r="BK16" s="261">
        <f>Site4!L34</f>
        <v>0</v>
      </c>
      <c r="BL16" s="261">
        <f>Site4!M34</f>
        <v>0</v>
      </c>
      <c r="BM16" s="261">
        <f>Site4!N34</f>
        <v>0</v>
      </c>
      <c r="BN16" s="261">
        <f>Site4!O34</f>
        <v>0</v>
      </c>
      <c r="BO16" s="261">
        <f>Site4!P34</f>
        <v>0</v>
      </c>
      <c r="BQ16" s="261">
        <f>Site5!E34</f>
        <v>1237.5</v>
      </c>
      <c r="BR16" s="261">
        <f>Site5!F34</f>
        <v>2041.2</v>
      </c>
      <c r="BS16" s="261">
        <f>Site5!G34</f>
        <v>2289.6</v>
      </c>
      <c r="BT16" s="261">
        <f>Site5!H34</f>
        <v>2313.36</v>
      </c>
      <c r="BU16" s="261">
        <f>Site5!I34</f>
        <v>2423.5200000000004</v>
      </c>
      <c r="BV16" s="261">
        <f>Site5!J34</f>
        <v>2552.04</v>
      </c>
      <c r="BW16" s="261">
        <f>Site5!K34</f>
        <v>2680.5600000000004</v>
      </c>
      <c r="BX16" s="261">
        <f>Site5!L34</f>
        <v>2809.08</v>
      </c>
      <c r="BY16" s="261">
        <f>Site5!M34</f>
        <v>2955.96</v>
      </c>
      <c r="BZ16" s="261">
        <f>Site5!N34</f>
        <v>3102.84</v>
      </c>
      <c r="CA16" s="261">
        <f>Site5!O34</f>
        <v>3249.72</v>
      </c>
      <c r="CB16" s="261">
        <f>Site5!P34</f>
        <v>3414.96</v>
      </c>
      <c r="CD16" s="261">
        <f>Site6!E34</f>
        <v>0</v>
      </c>
      <c r="CE16" s="261">
        <f>Site6!F34</f>
        <v>0</v>
      </c>
      <c r="CF16" s="261">
        <f>Site6!G34</f>
        <v>0</v>
      </c>
      <c r="CG16" s="261">
        <f>Site6!H34</f>
        <v>0</v>
      </c>
      <c r="CH16" s="261">
        <f>Site6!I34</f>
        <v>0</v>
      </c>
      <c r="CI16" s="261">
        <f>Site6!J34</f>
        <v>0</v>
      </c>
      <c r="CJ16" s="261">
        <f>Site6!K34</f>
        <v>0</v>
      </c>
      <c r="CK16" s="261">
        <f>Site6!L34</f>
        <v>0</v>
      </c>
      <c r="CL16" s="261">
        <f>Site6!M34</f>
        <v>0</v>
      </c>
      <c r="CM16" s="261">
        <f>Site6!N34</f>
        <v>0</v>
      </c>
      <c r="CN16" s="261">
        <f>Site6!O34</f>
        <v>0</v>
      </c>
      <c r="CO16" s="261">
        <f>Site6!P34</f>
        <v>0</v>
      </c>
      <c r="CP16" s="16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</row>
    <row r="17" spans="1:107" s="6" customFormat="1" hidden="1" outlineLevel="1" x14ac:dyDescent="0.25">
      <c r="B17" s="144" t="s">
        <v>363</v>
      </c>
      <c r="C17" s="2"/>
      <c r="D17" s="154">
        <f t="shared" si="7"/>
        <v>260000</v>
      </c>
      <c r="E17" s="154">
        <f t="shared" si="6"/>
        <v>0</v>
      </c>
      <c r="F17" s="154">
        <f t="shared" si="6"/>
        <v>0</v>
      </c>
      <c r="G17" s="154">
        <f t="shared" si="6"/>
        <v>0</v>
      </c>
      <c r="H17" s="154">
        <f t="shared" si="6"/>
        <v>0</v>
      </c>
      <c r="I17" s="154">
        <f t="shared" si="6"/>
        <v>0</v>
      </c>
      <c r="J17" s="154">
        <f t="shared" si="6"/>
        <v>0</v>
      </c>
      <c r="K17" s="154">
        <f t="shared" si="6"/>
        <v>0</v>
      </c>
      <c r="L17" s="154">
        <f t="shared" si="6"/>
        <v>0</v>
      </c>
      <c r="M17" s="154">
        <f t="shared" si="6"/>
        <v>0</v>
      </c>
      <c r="N17" s="154">
        <f t="shared" si="6"/>
        <v>0</v>
      </c>
      <c r="O17" s="154">
        <f t="shared" si="6"/>
        <v>0</v>
      </c>
      <c r="P17" s="2"/>
      <c r="Q17" s="107">
        <f>Site1!E35</f>
        <v>0</v>
      </c>
      <c r="R17" s="107">
        <f>Site1!F35</f>
        <v>0</v>
      </c>
      <c r="S17" s="107">
        <f>Site1!G35</f>
        <v>0</v>
      </c>
      <c r="T17" s="107">
        <f>Site1!H35</f>
        <v>0</v>
      </c>
      <c r="U17" s="107">
        <f>Site1!I35</f>
        <v>0</v>
      </c>
      <c r="V17" s="107">
        <f>Site1!J35</f>
        <v>0</v>
      </c>
      <c r="W17" s="107">
        <f>Site1!K35</f>
        <v>0</v>
      </c>
      <c r="X17" s="107">
        <f>Site1!L35</f>
        <v>0</v>
      </c>
      <c r="Y17" s="107">
        <f>Site1!M35</f>
        <v>0</v>
      </c>
      <c r="Z17" s="107">
        <f>Site1!N35</f>
        <v>0</v>
      </c>
      <c r="AA17" s="107">
        <f>Site1!O35</f>
        <v>0</v>
      </c>
      <c r="AB17" s="107">
        <f>Site1!P35</f>
        <v>0</v>
      </c>
      <c r="AC17" s="2"/>
      <c r="AD17" s="107">
        <f>Site2!E35</f>
        <v>0</v>
      </c>
      <c r="AE17" s="107">
        <f>Site2!F35</f>
        <v>0</v>
      </c>
      <c r="AF17" s="107">
        <f>Site2!G35</f>
        <v>0</v>
      </c>
      <c r="AG17" s="107">
        <f>Site2!H35</f>
        <v>0</v>
      </c>
      <c r="AH17" s="107">
        <f>Site2!I35</f>
        <v>0</v>
      </c>
      <c r="AI17" s="107">
        <f>Site2!J35</f>
        <v>0</v>
      </c>
      <c r="AJ17" s="107">
        <f>Site2!K35</f>
        <v>0</v>
      </c>
      <c r="AK17" s="107">
        <f>Site2!L35</f>
        <v>0</v>
      </c>
      <c r="AL17" s="107">
        <f>Site2!M35</f>
        <v>0</v>
      </c>
      <c r="AM17" s="107">
        <f>Site2!N35</f>
        <v>0</v>
      </c>
      <c r="AN17" s="107">
        <f>Site2!O35</f>
        <v>0</v>
      </c>
      <c r="AO17" s="107">
        <f>Site2!P35</f>
        <v>0</v>
      </c>
      <c r="AQ17" s="107">
        <f>Site3!E35</f>
        <v>0</v>
      </c>
      <c r="AR17" s="107">
        <f>Site3!F35</f>
        <v>0</v>
      </c>
      <c r="AS17" s="107">
        <f>Site3!G35</f>
        <v>0</v>
      </c>
      <c r="AT17" s="107">
        <f>Site3!H35</f>
        <v>0</v>
      </c>
      <c r="AU17" s="107">
        <f>Site3!I35</f>
        <v>0</v>
      </c>
      <c r="AV17" s="107">
        <f>Site3!J35</f>
        <v>0</v>
      </c>
      <c r="AW17" s="107">
        <f>Site3!K35</f>
        <v>0</v>
      </c>
      <c r="AX17" s="107">
        <f>Site3!L35</f>
        <v>0</v>
      </c>
      <c r="AY17" s="107">
        <f>Site3!M35</f>
        <v>0</v>
      </c>
      <c r="AZ17" s="107">
        <f>Site3!N35</f>
        <v>0</v>
      </c>
      <c r="BA17" s="107">
        <f>Site3!O35</f>
        <v>0</v>
      </c>
      <c r="BB17" s="107">
        <f>Site3!P35</f>
        <v>0</v>
      </c>
      <c r="BD17" s="107">
        <f>Site4!E35</f>
        <v>0</v>
      </c>
      <c r="BE17" s="107">
        <f>Site4!F35</f>
        <v>0</v>
      </c>
      <c r="BF17" s="107">
        <f>Site4!G35</f>
        <v>0</v>
      </c>
      <c r="BG17" s="107">
        <f>Site4!H35</f>
        <v>0</v>
      </c>
      <c r="BH17" s="107">
        <f>Site4!I35</f>
        <v>0</v>
      </c>
      <c r="BI17" s="107">
        <f>Site4!J35</f>
        <v>0</v>
      </c>
      <c r="BJ17" s="107">
        <f>Site4!K35</f>
        <v>0</v>
      </c>
      <c r="BK17" s="107">
        <f>Site4!L35</f>
        <v>0</v>
      </c>
      <c r="BL17" s="107">
        <f>Site4!M35</f>
        <v>0</v>
      </c>
      <c r="BM17" s="107">
        <f>Site4!N35</f>
        <v>0</v>
      </c>
      <c r="BN17" s="107">
        <f>Site4!O35</f>
        <v>0</v>
      </c>
      <c r="BO17" s="107">
        <f>Site4!P35</f>
        <v>0</v>
      </c>
      <c r="BQ17" s="107">
        <f>Site5!E35</f>
        <v>260000</v>
      </c>
      <c r="BR17" s="107">
        <f>Site5!F35</f>
        <v>0</v>
      </c>
      <c r="BS17" s="107">
        <f>Site5!G35</f>
        <v>0</v>
      </c>
      <c r="BT17" s="107">
        <f>Site5!H35</f>
        <v>0</v>
      </c>
      <c r="BU17" s="107">
        <f>Site5!I35</f>
        <v>0</v>
      </c>
      <c r="BV17" s="107">
        <f>Site5!J35</f>
        <v>0</v>
      </c>
      <c r="BW17" s="107">
        <f>Site5!K35</f>
        <v>0</v>
      </c>
      <c r="BX17" s="107">
        <f>Site5!L35</f>
        <v>0</v>
      </c>
      <c r="BY17" s="107">
        <f>Site5!M35</f>
        <v>0</v>
      </c>
      <c r="BZ17" s="107">
        <f>Site5!N35</f>
        <v>0</v>
      </c>
      <c r="CA17" s="107">
        <f>Site5!O35</f>
        <v>0</v>
      </c>
      <c r="CB17" s="107">
        <f>Site5!P35</f>
        <v>0</v>
      </c>
      <c r="CD17" s="6">
        <f>Site6!E35</f>
        <v>0</v>
      </c>
      <c r="CE17" s="6">
        <f>Site6!F35</f>
        <v>0</v>
      </c>
      <c r="CF17" s="6">
        <f>Site6!G35</f>
        <v>0</v>
      </c>
      <c r="CG17" s="6">
        <f>Site6!H35</f>
        <v>0</v>
      </c>
      <c r="CH17" s="6">
        <f>Site6!I35</f>
        <v>0</v>
      </c>
      <c r="CI17" s="6">
        <f>Site6!J35</f>
        <v>0</v>
      </c>
      <c r="CJ17" s="6">
        <f>Site6!K35</f>
        <v>0</v>
      </c>
      <c r="CK17" s="6">
        <f>Site6!L35</f>
        <v>0</v>
      </c>
      <c r="CL17" s="6">
        <f>Site6!M35</f>
        <v>0</v>
      </c>
      <c r="CM17" s="6">
        <f>Site6!N35</f>
        <v>0</v>
      </c>
      <c r="CN17" s="6">
        <f>Site6!O35</f>
        <v>0</v>
      </c>
      <c r="CO17" s="6">
        <f>Site6!P35</f>
        <v>0</v>
      </c>
      <c r="CP17" s="2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s="6" customFormat="1" hidden="1" outlineLevel="1" x14ac:dyDescent="0.25">
      <c r="B18" s="144" t="s">
        <v>364</v>
      </c>
      <c r="C18" s="2"/>
      <c r="D18" s="154">
        <f t="shared" si="7"/>
        <v>0</v>
      </c>
      <c r="E18" s="154">
        <f t="shared" si="6"/>
        <v>0</v>
      </c>
      <c r="F18" s="154">
        <f t="shared" si="6"/>
        <v>0</v>
      </c>
      <c r="G18" s="154">
        <f t="shared" si="6"/>
        <v>0</v>
      </c>
      <c r="H18" s="154">
        <f t="shared" si="6"/>
        <v>0</v>
      </c>
      <c r="I18" s="154">
        <f t="shared" si="6"/>
        <v>0</v>
      </c>
      <c r="J18" s="154">
        <f t="shared" si="6"/>
        <v>0</v>
      </c>
      <c r="K18" s="154">
        <f t="shared" si="6"/>
        <v>0</v>
      </c>
      <c r="L18" s="154">
        <f t="shared" si="6"/>
        <v>0</v>
      </c>
      <c r="M18" s="154">
        <f t="shared" si="6"/>
        <v>0</v>
      </c>
      <c r="N18" s="154">
        <f t="shared" si="6"/>
        <v>0</v>
      </c>
      <c r="O18" s="154">
        <f t="shared" si="6"/>
        <v>0</v>
      </c>
      <c r="P18" s="2"/>
      <c r="Q18" s="107">
        <f>Site1!E36</f>
        <v>0</v>
      </c>
      <c r="R18" s="107">
        <f>Site1!F36</f>
        <v>0</v>
      </c>
      <c r="S18" s="107">
        <f>Site1!G36</f>
        <v>0</v>
      </c>
      <c r="T18" s="107">
        <f>Site1!H36</f>
        <v>0</v>
      </c>
      <c r="U18" s="107">
        <f>Site1!I36</f>
        <v>0</v>
      </c>
      <c r="V18" s="107">
        <f>Site1!J36</f>
        <v>0</v>
      </c>
      <c r="W18" s="107">
        <f>Site1!K36</f>
        <v>0</v>
      </c>
      <c r="X18" s="107">
        <f>Site1!L36</f>
        <v>0</v>
      </c>
      <c r="Y18" s="107">
        <f>Site1!M36</f>
        <v>0</v>
      </c>
      <c r="Z18" s="107">
        <f>Site1!N36</f>
        <v>0</v>
      </c>
      <c r="AA18" s="107">
        <f>Site1!O36</f>
        <v>0</v>
      </c>
      <c r="AB18" s="107">
        <f>Site1!P36</f>
        <v>0</v>
      </c>
      <c r="AC18" s="2"/>
      <c r="AD18" s="107">
        <f>Site2!E36</f>
        <v>0</v>
      </c>
      <c r="AE18" s="107">
        <f>Site2!F36</f>
        <v>0</v>
      </c>
      <c r="AF18" s="107">
        <f>Site2!G36</f>
        <v>0</v>
      </c>
      <c r="AG18" s="107">
        <f>Site2!H36</f>
        <v>0</v>
      </c>
      <c r="AH18" s="107">
        <f>Site2!I36</f>
        <v>0</v>
      </c>
      <c r="AI18" s="107">
        <f>Site2!J36</f>
        <v>0</v>
      </c>
      <c r="AJ18" s="107">
        <f>Site2!K36</f>
        <v>0</v>
      </c>
      <c r="AK18" s="107">
        <f>Site2!L36</f>
        <v>0</v>
      </c>
      <c r="AL18" s="107">
        <f>Site2!M36</f>
        <v>0</v>
      </c>
      <c r="AM18" s="107">
        <f>Site2!N36</f>
        <v>0</v>
      </c>
      <c r="AN18" s="107">
        <f>Site2!O36</f>
        <v>0</v>
      </c>
      <c r="AO18" s="107">
        <f>Site2!P36</f>
        <v>0</v>
      </c>
      <c r="AQ18" s="107">
        <f>Site3!E36</f>
        <v>0</v>
      </c>
      <c r="AR18" s="107">
        <f>Site3!F36</f>
        <v>0</v>
      </c>
      <c r="AS18" s="107">
        <f>Site3!G36</f>
        <v>0</v>
      </c>
      <c r="AT18" s="107">
        <f>Site3!H36</f>
        <v>0</v>
      </c>
      <c r="AU18" s="107">
        <f>Site3!I36</f>
        <v>0</v>
      </c>
      <c r="AV18" s="107">
        <f>Site3!J36</f>
        <v>0</v>
      </c>
      <c r="AW18" s="107">
        <f>Site3!K36</f>
        <v>0</v>
      </c>
      <c r="AX18" s="107">
        <f>Site3!L36</f>
        <v>0</v>
      </c>
      <c r="AY18" s="107">
        <f>Site3!M36</f>
        <v>0</v>
      </c>
      <c r="AZ18" s="107">
        <f>Site3!N36</f>
        <v>0</v>
      </c>
      <c r="BA18" s="107">
        <f>Site3!O36</f>
        <v>0</v>
      </c>
      <c r="BB18" s="107">
        <f>Site3!P36</f>
        <v>0</v>
      </c>
      <c r="BD18" s="107">
        <f>Site4!E36</f>
        <v>0</v>
      </c>
      <c r="BE18" s="107">
        <f>Site4!F36</f>
        <v>0</v>
      </c>
      <c r="BF18" s="107">
        <f>Site4!G36</f>
        <v>0</v>
      </c>
      <c r="BG18" s="107">
        <f>Site4!H36</f>
        <v>0</v>
      </c>
      <c r="BH18" s="107">
        <f>Site4!I36</f>
        <v>0</v>
      </c>
      <c r="BI18" s="107">
        <f>Site4!J36</f>
        <v>0</v>
      </c>
      <c r="BJ18" s="107">
        <f>Site4!K36</f>
        <v>0</v>
      </c>
      <c r="BK18" s="107">
        <f>Site4!L36</f>
        <v>0</v>
      </c>
      <c r="BL18" s="107">
        <f>Site4!M36</f>
        <v>0</v>
      </c>
      <c r="BM18" s="107">
        <f>Site4!N36</f>
        <v>0</v>
      </c>
      <c r="BN18" s="107">
        <f>Site4!O36</f>
        <v>0</v>
      </c>
      <c r="BO18" s="107">
        <f>Site4!P36</f>
        <v>0</v>
      </c>
      <c r="BQ18" s="107">
        <f>Site5!E36</f>
        <v>0</v>
      </c>
      <c r="BR18" s="107">
        <f>Site5!F36</f>
        <v>0</v>
      </c>
      <c r="BS18" s="107">
        <f>Site5!G36</f>
        <v>0</v>
      </c>
      <c r="BT18" s="107">
        <f>Site5!H36</f>
        <v>0</v>
      </c>
      <c r="BU18" s="107">
        <f>Site5!I36</f>
        <v>0</v>
      </c>
      <c r="BV18" s="107">
        <f>Site5!J36</f>
        <v>0</v>
      </c>
      <c r="BW18" s="107">
        <f>Site5!K36</f>
        <v>0</v>
      </c>
      <c r="BX18" s="107">
        <f>Site5!L36</f>
        <v>0</v>
      </c>
      <c r="BY18" s="107">
        <f>Site5!M36</f>
        <v>0</v>
      </c>
      <c r="BZ18" s="107">
        <f>Site5!N36</f>
        <v>0</v>
      </c>
      <c r="CA18" s="107">
        <f>Site5!O36</f>
        <v>0</v>
      </c>
      <c r="CB18" s="107">
        <f>Site5!P36</f>
        <v>0</v>
      </c>
      <c r="CD18" s="6">
        <f>Site6!E36</f>
        <v>0</v>
      </c>
      <c r="CE18" s="6">
        <f>Site6!F36</f>
        <v>0</v>
      </c>
      <c r="CF18" s="6">
        <f>Site6!G36</f>
        <v>0</v>
      </c>
      <c r="CG18" s="6">
        <f>Site6!H36</f>
        <v>0</v>
      </c>
      <c r="CH18" s="6">
        <f>Site6!I36</f>
        <v>0</v>
      </c>
      <c r="CI18" s="6">
        <f>Site6!J36</f>
        <v>0</v>
      </c>
      <c r="CJ18" s="6">
        <f>Site6!K36</f>
        <v>0</v>
      </c>
      <c r="CK18" s="6">
        <f>Site6!L36</f>
        <v>0</v>
      </c>
      <c r="CL18" s="6">
        <f>Site6!M36</f>
        <v>0</v>
      </c>
      <c r="CM18" s="6">
        <f>Site6!N36</f>
        <v>0</v>
      </c>
      <c r="CN18" s="6">
        <f>Site6!O36</f>
        <v>0</v>
      </c>
      <c r="CO18" s="6">
        <f>Site6!P36</f>
        <v>0</v>
      </c>
      <c r="CP18" s="2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s="6" customFormat="1" hidden="1" outlineLevel="1" x14ac:dyDescent="0.25">
      <c r="B19" s="144" t="s">
        <v>365</v>
      </c>
      <c r="C19" s="2"/>
      <c r="D19" s="154">
        <f t="shared" si="7"/>
        <v>0</v>
      </c>
      <c r="E19" s="154">
        <f t="shared" si="6"/>
        <v>0</v>
      </c>
      <c r="F19" s="154">
        <f t="shared" si="6"/>
        <v>0</v>
      </c>
      <c r="G19" s="154">
        <f t="shared" si="6"/>
        <v>0</v>
      </c>
      <c r="H19" s="154">
        <f t="shared" si="6"/>
        <v>0</v>
      </c>
      <c r="I19" s="154">
        <f t="shared" si="6"/>
        <v>0</v>
      </c>
      <c r="J19" s="154">
        <f t="shared" si="6"/>
        <v>0</v>
      </c>
      <c r="K19" s="154">
        <f t="shared" si="6"/>
        <v>0</v>
      </c>
      <c r="L19" s="154">
        <f t="shared" si="6"/>
        <v>0</v>
      </c>
      <c r="M19" s="154">
        <f t="shared" si="6"/>
        <v>0</v>
      </c>
      <c r="N19" s="154">
        <f t="shared" si="6"/>
        <v>0</v>
      </c>
      <c r="O19" s="154">
        <f t="shared" si="6"/>
        <v>0</v>
      </c>
      <c r="P19" s="2"/>
      <c r="Q19" s="107">
        <f>Site1!E37</f>
        <v>0</v>
      </c>
      <c r="R19" s="107">
        <f>Site1!F37</f>
        <v>0</v>
      </c>
      <c r="S19" s="107">
        <f>Site1!G37</f>
        <v>0</v>
      </c>
      <c r="T19" s="107">
        <f>Site1!H37</f>
        <v>0</v>
      </c>
      <c r="U19" s="107">
        <f>Site1!I37</f>
        <v>0</v>
      </c>
      <c r="V19" s="107">
        <f>Site1!J37</f>
        <v>0</v>
      </c>
      <c r="W19" s="107">
        <f>Site1!K37</f>
        <v>0</v>
      </c>
      <c r="X19" s="107">
        <f>Site1!L37</f>
        <v>0</v>
      </c>
      <c r="Y19" s="107">
        <f>Site1!M37</f>
        <v>0</v>
      </c>
      <c r="Z19" s="107">
        <f>Site1!N37</f>
        <v>0</v>
      </c>
      <c r="AA19" s="107">
        <f>Site1!O37</f>
        <v>0</v>
      </c>
      <c r="AB19" s="107">
        <f>Site1!P37</f>
        <v>0</v>
      </c>
      <c r="AC19" s="2"/>
      <c r="AD19" s="107">
        <f>Site2!E37</f>
        <v>0</v>
      </c>
      <c r="AE19" s="107">
        <f>Site2!F37</f>
        <v>0</v>
      </c>
      <c r="AF19" s="107">
        <f>Site2!G37</f>
        <v>0</v>
      </c>
      <c r="AG19" s="107">
        <f>Site2!H37</f>
        <v>0</v>
      </c>
      <c r="AH19" s="107">
        <f>Site2!I37</f>
        <v>0</v>
      </c>
      <c r="AI19" s="107">
        <f>Site2!J37</f>
        <v>0</v>
      </c>
      <c r="AJ19" s="107">
        <f>Site2!K37</f>
        <v>0</v>
      </c>
      <c r="AK19" s="107">
        <f>Site2!L37</f>
        <v>0</v>
      </c>
      <c r="AL19" s="107">
        <f>Site2!M37</f>
        <v>0</v>
      </c>
      <c r="AM19" s="107">
        <f>Site2!N37</f>
        <v>0</v>
      </c>
      <c r="AN19" s="107">
        <f>Site2!O37</f>
        <v>0</v>
      </c>
      <c r="AO19" s="107">
        <f>Site2!P37</f>
        <v>0</v>
      </c>
      <c r="AQ19" s="107">
        <f>Site3!E37</f>
        <v>0</v>
      </c>
      <c r="AR19" s="107">
        <f>Site3!F37</f>
        <v>0</v>
      </c>
      <c r="AS19" s="107">
        <f>Site3!G37</f>
        <v>0</v>
      </c>
      <c r="AT19" s="107">
        <f>Site3!H37</f>
        <v>0</v>
      </c>
      <c r="AU19" s="107">
        <f>Site3!I37</f>
        <v>0</v>
      </c>
      <c r="AV19" s="107">
        <f>Site3!J37</f>
        <v>0</v>
      </c>
      <c r="AW19" s="107">
        <f>Site3!K37</f>
        <v>0</v>
      </c>
      <c r="AX19" s="107">
        <f>Site3!L37</f>
        <v>0</v>
      </c>
      <c r="AY19" s="107">
        <f>Site3!M37</f>
        <v>0</v>
      </c>
      <c r="AZ19" s="107">
        <f>Site3!N37</f>
        <v>0</v>
      </c>
      <c r="BA19" s="107">
        <f>Site3!O37</f>
        <v>0</v>
      </c>
      <c r="BB19" s="107">
        <f>Site3!P37</f>
        <v>0</v>
      </c>
      <c r="BD19" s="107">
        <f>Site4!E37</f>
        <v>0</v>
      </c>
      <c r="BE19" s="107">
        <f>Site4!F37</f>
        <v>0</v>
      </c>
      <c r="BF19" s="107">
        <f>Site4!G37</f>
        <v>0</v>
      </c>
      <c r="BG19" s="107">
        <f>Site4!H37</f>
        <v>0</v>
      </c>
      <c r="BH19" s="107">
        <f>Site4!I37</f>
        <v>0</v>
      </c>
      <c r="BI19" s="107">
        <f>Site4!J37</f>
        <v>0</v>
      </c>
      <c r="BJ19" s="107">
        <f>Site4!K37</f>
        <v>0</v>
      </c>
      <c r="BK19" s="107">
        <f>Site4!L37</f>
        <v>0</v>
      </c>
      <c r="BL19" s="107">
        <f>Site4!M37</f>
        <v>0</v>
      </c>
      <c r="BM19" s="107">
        <f>Site4!N37</f>
        <v>0</v>
      </c>
      <c r="BN19" s="107">
        <f>Site4!O37</f>
        <v>0</v>
      </c>
      <c r="BO19" s="107">
        <f>Site4!P37</f>
        <v>0</v>
      </c>
      <c r="BQ19" s="107">
        <f>Site5!E37</f>
        <v>0</v>
      </c>
      <c r="BR19" s="107">
        <f>Site5!F37</f>
        <v>0</v>
      </c>
      <c r="BS19" s="107">
        <f>Site5!G37</f>
        <v>0</v>
      </c>
      <c r="BT19" s="107">
        <f>Site5!H37</f>
        <v>0</v>
      </c>
      <c r="BU19" s="107">
        <f>Site5!I37</f>
        <v>0</v>
      </c>
      <c r="BV19" s="107">
        <f>Site5!J37</f>
        <v>0</v>
      </c>
      <c r="BW19" s="107">
        <f>Site5!K37</f>
        <v>0</v>
      </c>
      <c r="BX19" s="107">
        <f>Site5!L37</f>
        <v>0</v>
      </c>
      <c r="BY19" s="107">
        <f>Site5!M37</f>
        <v>0</v>
      </c>
      <c r="BZ19" s="107">
        <f>Site5!N37</f>
        <v>0</v>
      </c>
      <c r="CA19" s="107">
        <f>Site5!O37</f>
        <v>0</v>
      </c>
      <c r="CB19" s="107">
        <f>Site5!P37</f>
        <v>0</v>
      </c>
      <c r="CD19" s="6">
        <f>Site6!E37</f>
        <v>0</v>
      </c>
      <c r="CE19" s="6">
        <f>Site6!F37</f>
        <v>0</v>
      </c>
      <c r="CF19" s="6">
        <f>Site6!G37</f>
        <v>0</v>
      </c>
      <c r="CG19" s="6">
        <f>Site6!H37</f>
        <v>0</v>
      </c>
      <c r="CH19" s="6">
        <f>Site6!I37</f>
        <v>0</v>
      </c>
      <c r="CI19" s="6">
        <f>Site6!J37</f>
        <v>0</v>
      </c>
      <c r="CJ19" s="6">
        <f>Site6!K37</f>
        <v>0</v>
      </c>
      <c r="CK19" s="6">
        <f>Site6!L37</f>
        <v>0</v>
      </c>
      <c r="CL19" s="6">
        <f>Site6!M37</f>
        <v>0</v>
      </c>
      <c r="CM19" s="6">
        <f>Site6!N37</f>
        <v>0</v>
      </c>
      <c r="CN19" s="6">
        <f>Site6!O37</f>
        <v>0</v>
      </c>
      <c r="CO19" s="6">
        <f>Site6!P37</f>
        <v>0</v>
      </c>
      <c r="CP19" s="2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s="121" customFormat="1" collapsed="1" x14ac:dyDescent="0.25">
      <c r="B20" s="259" t="s">
        <v>577</v>
      </c>
      <c r="C20" s="16"/>
      <c r="D20" s="260">
        <f t="shared" si="7"/>
        <v>260000</v>
      </c>
      <c r="E20" s="260">
        <f t="shared" si="6"/>
        <v>0</v>
      </c>
      <c r="F20" s="260">
        <f t="shared" si="6"/>
        <v>0</v>
      </c>
      <c r="G20" s="260">
        <f t="shared" si="6"/>
        <v>0</v>
      </c>
      <c r="H20" s="260">
        <f t="shared" si="6"/>
        <v>0</v>
      </c>
      <c r="I20" s="260">
        <f t="shared" si="6"/>
        <v>0</v>
      </c>
      <c r="J20" s="260">
        <f t="shared" si="6"/>
        <v>0</v>
      </c>
      <c r="K20" s="260">
        <f t="shared" si="6"/>
        <v>0</v>
      </c>
      <c r="L20" s="260">
        <f t="shared" si="6"/>
        <v>0</v>
      </c>
      <c r="M20" s="260">
        <f t="shared" si="6"/>
        <v>0</v>
      </c>
      <c r="N20" s="260">
        <f t="shared" si="6"/>
        <v>0</v>
      </c>
      <c r="O20" s="260">
        <f t="shared" si="6"/>
        <v>0</v>
      </c>
      <c r="P20" s="16"/>
      <c r="Q20" s="261">
        <f>Site1!E38</f>
        <v>0</v>
      </c>
      <c r="R20" s="261">
        <f>Site1!F38</f>
        <v>0</v>
      </c>
      <c r="S20" s="261">
        <f>Site1!G38</f>
        <v>0</v>
      </c>
      <c r="T20" s="261">
        <f>Site1!H38</f>
        <v>0</v>
      </c>
      <c r="U20" s="261">
        <f>Site1!I38</f>
        <v>0</v>
      </c>
      <c r="V20" s="261">
        <f>Site1!J38</f>
        <v>0</v>
      </c>
      <c r="W20" s="261">
        <f>Site1!K38</f>
        <v>0</v>
      </c>
      <c r="X20" s="261">
        <f>Site1!L38</f>
        <v>0</v>
      </c>
      <c r="Y20" s="261">
        <f>Site1!M38</f>
        <v>0</v>
      </c>
      <c r="Z20" s="261">
        <f>Site1!N38</f>
        <v>0</v>
      </c>
      <c r="AA20" s="261">
        <f>Site1!O38</f>
        <v>0</v>
      </c>
      <c r="AB20" s="261">
        <f>Site1!P38</f>
        <v>0</v>
      </c>
      <c r="AC20" s="16"/>
      <c r="AD20" s="261">
        <f>Site2!E38</f>
        <v>0</v>
      </c>
      <c r="AE20" s="261">
        <f>Site2!F38</f>
        <v>0</v>
      </c>
      <c r="AF20" s="261">
        <f>Site2!G38</f>
        <v>0</v>
      </c>
      <c r="AG20" s="261">
        <f>Site2!H38</f>
        <v>0</v>
      </c>
      <c r="AH20" s="261">
        <f>Site2!I38</f>
        <v>0</v>
      </c>
      <c r="AI20" s="261">
        <f>Site2!J38</f>
        <v>0</v>
      </c>
      <c r="AJ20" s="261">
        <f>Site2!K38</f>
        <v>0</v>
      </c>
      <c r="AK20" s="261">
        <f>Site2!L38</f>
        <v>0</v>
      </c>
      <c r="AL20" s="261">
        <f>Site2!M38</f>
        <v>0</v>
      </c>
      <c r="AM20" s="261">
        <f>Site2!N38</f>
        <v>0</v>
      </c>
      <c r="AN20" s="261">
        <f>Site2!O38</f>
        <v>0</v>
      </c>
      <c r="AO20" s="261">
        <f>Site2!P38</f>
        <v>0</v>
      </c>
      <c r="AQ20" s="261">
        <f>Site3!E38</f>
        <v>0</v>
      </c>
      <c r="AR20" s="261">
        <f>Site3!F38</f>
        <v>0</v>
      </c>
      <c r="AS20" s="261">
        <f>Site3!G38</f>
        <v>0</v>
      </c>
      <c r="AT20" s="261">
        <f>Site3!H38</f>
        <v>0</v>
      </c>
      <c r="AU20" s="261">
        <f>Site3!I38</f>
        <v>0</v>
      </c>
      <c r="AV20" s="261">
        <f>Site3!J38</f>
        <v>0</v>
      </c>
      <c r="AW20" s="261">
        <f>Site3!K38</f>
        <v>0</v>
      </c>
      <c r="AX20" s="261">
        <f>Site3!L38</f>
        <v>0</v>
      </c>
      <c r="AY20" s="261">
        <f>Site3!M38</f>
        <v>0</v>
      </c>
      <c r="AZ20" s="261">
        <f>Site3!N38</f>
        <v>0</v>
      </c>
      <c r="BA20" s="261">
        <f>Site3!O38</f>
        <v>0</v>
      </c>
      <c r="BB20" s="261">
        <f>Site3!P38</f>
        <v>0</v>
      </c>
      <c r="BD20" s="261">
        <f>Site4!E38</f>
        <v>0</v>
      </c>
      <c r="BE20" s="261">
        <f>Site4!F38</f>
        <v>0</v>
      </c>
      <c r="BF20" s="261">
        <f>Site4!G38</f>
        <v>0</v>
      </c>
      <c r="BG20" s="261">
        <f>Site4!H38</f>
        <v>0</v>
      </c>
      <c r="BH20" s="261">
        <f>Site4!I38</f>
        <v>0</v>
      </c>
      <c r="BI20" s="261">
        <f>Site4!J38</f>
        <v>0</v>
      </c>
      <c r="BJ20" s="261">
        <f>Site4!K38</f>
        <v>0</v>
      </c>
      <c r="BK20" s="261">
        <f>Site4!L38</f>
        <v>0</v>
      </c>
      <c r="BL20" s="261">
        <f>Site4!M38</f>
        <v>0</v>
      </c>
      <c r="BM20" s="261">
        <f>Site4!N38</f>
        <v>0</v>
      </c>
      <c r="BN20" s="261">
        <f>Site4!O38</f>
        <v>0</v>
      </c>
      <c r="BO20" s="261">
        <f>Site4!P38</f>
        <v>0</v>
      </c>
      <c r="BQ20" s="261">
        <f>Site5!E38</f>
        <v>260000</v>
      </c>
      <c r="BR20" s="261">
        <f>Site5!F38</f>
        <v>0</v>
      </c>
      <c r="BS20" s="261">
        <f>Site5!G38</f>
        <v>0</v>
      </c>
      <c r="BT20" s="261">
        <f>Site5!H38</f>
        <v>0</v>
      </c>
      <c r="BU20" s="261">
        <f>Site5!I38</f>
        <v>0</v>
      </c>
      <c r="BV20" s="261">
        <f>Site5!J38</f>
        <v>0</v>
      </c>
      <c r="BW20" s="261">
        <f>Site5!K38</f>
        <v>0</v>
      </c>
      <c r="BX20" s="261">
        <f>Site5!L38</f>
        <v>0</v>
      </c>
      <c r="BY20" s="261">
        <f>Site5!M38</f>
        <v>0</v>
      </c>
      <c r="BZ20" s="261">
        <f>Site5!N38</f>
        <v>0</v>
      </c>
      <c r="CA20" s="261">
        <f>Site5!O38</f>
        <v>0</v>
      </c>
      <c r="CB20" s="261">
        <f>Site5!P38</f>
        <v>0</v>
      </c>
      <c r="CD20" s="261">
        <f>Site6!E38</f>
        <v>0</v>
      </c>
      <c r="CE20" s="261">
        <f>Site6!F38</f>
        <v>0</v>
      </c>
      <c r="CF20" s="261">
        <f>Site6!G38</f>
        <v>0</v>
      </c>
      <c r="CG20" s="261">
        <f>Site6!H38</f>
        <v>0</v>
      </c>
      <c r="CH20" s="261">
        <f>Site6!I38</f>
        <v>0</v>
      </c>
      <c r="CI20" s="261">
        <f>Site6!J38</f>
        <v>0</v>
      </c>
      <c r="CJ20" s="261">
        <f>Site6!K38</f>
        <v>0</v>
      </c>
      <c r="CK20" s="261">
        <f>Site6!L38</f>
        <v>0</v>
      </c>
      <c r="CL20" s="261">
        <f>Site6!M38</f>
        <v>0</v>
      </c>
      <c r="CM20" s="261">
        <f>Site6!N38</f>
        <v>0</v>
      </c>
      <c r="CN20" s="261">
        <f>Site6!O38</f>
        <v>0</v>
      </c>
      <c r="CO20" s="261">
        <f>Site6!P38</f>
        <v>0</v>
      </c>
      <c r="CP20" s="16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</row>
    <row r="21" spans="1:107" s="121" customFormat="1" x14ac:dyDescent="0.25">
      <c r="A21" s="121" t="s">
        <v>210</v>
      </c>
      <c r="B21" s="259"/>
      <c r="C21" s="16"/>
      <c r="D21" s="290">
        <f t="shared" si="7"/>
        <v>4014908.75</v>
      </c>
      <c r="E21" s="290">
        <f t="shared" ref="E21:O21" si="8">R21+AE21+AR21+BE21+BR21+CE21</f>
        <v>4351290.4837500006</v>
      </c>
      <c r="F21" s="290">
        <f t="shared" si="8"/>
        <v>5121478.2943250006</v>
      </c>
      <c r="G21" s="290">
        <f t="shared" si="8"/>
        <v>5482510.7223154521</v>
      </c>
      <c r="H21" s="290">
        <f t="shared" si="8"/>
        <v>5776688.0959400367</v>
      </c>
      <c r="I21" s="290">
        <f t="shared" si="8"/>
        <v>6017825.1364165368</v>
      </c>
      <c r="J21" s="290">
        <f t="shared" si="8"/>
        <v>6286870.0656336192</v>
      </c>
      <c r="K21" s="290">
        <f t="shared" si="8"/>
        <v>6559604.6326345298</v>
      </c>
      <c r="L21" s="290">
        <f t="shared" si="8"/>
        <v>6863519.8719433164</v>
      </c>
      <c r="M21" s="290">
        <f t="shared" si="8"/>
        <v>7171616.2268376499</v>
      </c>
      <c r="N21" s="290">
        <f t="shared" si="8"/>
        <v>7494148.1552223833</v>
      </c>
      <c r="O21" s="290">
        <f t="shared" si="8"/>
        <v>7833749.3649948668</v>
      </c>
      <c r="P21" s="16"/>
      <c r="Q21" s="290">
        <f>Site1!E39</f>
        <v>1421070</v>
      </c>
      <c r="R21" s="290">
        <f>Site1!F39</f>
        <v>1460362.5855</v>
      </c>
      <c r="S21" s="290">
        <f>Site1!G39</f>
        <v>1500164.6245950002</v>
      </c>
      <c r="T21" s="290">
        <f>Site1!H39</f>
        <v>1540481.5488809908</v>
      </c>
      <c r="U21" s="290">
        <f>Site1!I39</f>
        <v>1581318.8427711378</v>
      </c>
      <c r="V21" s="290">
        <f>Site1!J39</f>
        <v>1622682.0439825126</v>
      </c>
      <c r="W21" s="290">
        <f>Site1!K39</f>
        <v>1669530.8414796139</v>
      </c>
      <c r="X21" s="290">
        <f>Site1!L39</f>
        <v>1716991.0950741977</v>
      </c>
      <c r="Y21" s="290">
        <f>Site1!M39</f>
        <v>1765069.341362867</v>
      </c>
      <c r="Z21" s="290">
        <f>Site1!N39</f>
        <v>1813772.1805967684</v>
      </c>
      <c r="AA21" s="290">
        <f>Site1!O39</f>
        <v>1863106.2772687266</v>
      </c>
      <c r="AB21" s="290">
        <f>Site1!P39</f>
        <v>1913078.3607056057</v>
      </c>
      <c r="AC21" s="16"/>
      <c r="AD21" s="290">
        <f>Site2!E39</f>
        <v>947379.99999999988</v>
      </c>
      <c r="AE21" s="290">
        <f>Site2!F39</f>
        <v>973575.05700000003</v>
      </c>
      <c r="AF21" s="290">
        <f>Site2!G39</f>
        <v>1000109.74973</v>
      </c>
      <c r="AG21" s="290">
        <f>Site2!H39</f>
        <v>1026987.6992539939</v>
      </c>
      <c r="AH21" s="290">
        <f>Site2!I39</f>
        <v>1054212.5618474253</v>
      </c>
      <c r="AI21" s="290">
        <f>Site2!J39</f>
        <v>1081788.0293216752</v>
      </c>
      <c r="AJ21" s="290">
        <f>Site2!K39</f>
        <v>1109717.8293514349</v>
      </c>
      <c r="AK21" s="290">
        <f>Site2!L39</f>
        <v>1138005.7258049916</v>
      </c>
      <c r="AL21" s="290">
        <f>Site2!M39</f>
        <v>1171684.2066596809</v>
      </c>
      <c r="AM21" s="290">
        <f>Site2!N39</f>
        <v>1205803.8519051143</v>
      </c>
      <c r="AN21" s="290">
        <f>Site2!O39</f>
        <v>1240369.3845926044</v>
      </c>
      <c r="AO21" s="290">
        <f>Site2!P39</f>
        <v>1275385.5738037373</v>
      </c>
      <c r="AP21" s="121">
        <f>SUM(AP6:AP20)</f>
        <v>0</v>
      </c>
      <c r="AQ21" s="290">
        <f>Site3!E39</f>
        <v>408616.25</v>
      </c>
      <c r="AR21" s="290">
        <f>Site3!F39</f>
        <v>532763.48124999995</v>
      </c>
      <c r="AS21" s="290">
        <f>Site3!G39</f>
        <v>585555.49893749994</v>
      </c>
      <c r="AT21" s="290">
        <f>Site3!H39</f>
        <v>619444.52343850792</v>
      </c>
      <c r="AU21" s="290">
        <f>Site3!I39</f>
        <v>653808.94581021555</v>
      </c>
      <c r="AV21" s="290">
        <f>Site3!J39</f>
        <v>693644.23707293277</v>
      </c>
      <c r="AW21" s="290">
        <f>Site3!K39</f>
        <v>734040.28095138888</v>
      </c>
      <c r="AX21" s="290">
        <f>Site3!L39</f>
        <v>775003.2479996864</v>
      </c>
      <c r="AY21" s="290">
        <f>Site3!M39</f>
        <v>821642.74084907933</v>
      </c>
      <c r="AZ21" s="290">
        <f>Site3!N39</f>
        <v>868938.23215851327</v>
      </c>
      <c r="BA21" s="290">
        <f>Site3!O39</f>
        <v>916896.93843341572</v>
      </c>
      <c r="BB21" s="290">
        <f>Site3!P39</f>
        <v>970745.20778378518</v>
      </c>
      <c r="BD21" s="290">
        <f>Site4!E39</f>
        <v>443205</v>
      </c>
      <c r="BE21" s="290">
        <f>Site4!F39</f>
        <v>638843.66</v>
      </c>
      <c r="BF21" s="290">
        <f>Site4!G39</f>
        <v>735514.83403125009</v>
      </c>
      <c r="BG21" s="290">
        <f>Site4!H39</f>
        <v>765396.49284024071</v>
      </c>
      <c r="BH21" s="290">
        <f>Site4!I39</f>
        <v>810181.87623459531</v>
      </c>
      <c r="BI21" s="290">
        <f>Site4!J39</f>
        <v>855595.986827143</v>
      </c>
      <c r="BJ21" s="290">
        <f>Site4!K39</f>
        <v>906599.83380050259</v>
      </c>
      <c r="BK21" s="290">
        <f>Site4!L39</f>
        <v>958320.61120420345</v>
      </c>
      <c r="BL21" s="290">
        <f>Site4!M39</f>
        <v>1015794.8916105388</v>
      </c>
      <c r="BM21" s="290">
        <f>Site4!N39</f>
        <v>1074077.3806885891</v>
      </c>
      <c r="BN21" s="290">
        <f>Site4!O39</f>
        <v>1138281.3693997974</v>
      </c>
      <c r="BO21" s="290">
        <f>Site4!P39</f>
        <v>1203388.0010890102</v>
      </c>
      <c r="BQ21" s="290">
        <f>Site5!E39</f>
        <v>794637.5</v>
      </c>
      <c r="BR21" s="290">
        <f>Site5!F39</f>
        <v>745745.70000000007</v>
      </c>
      <c r="BS21" s="290">
        <f>Site5!G39</f>
        <v>850255.58175000013</v>
      </c>
      <c r="BT21" s="290">
        <f>Site5!H39</f>
        <v>881738.20804584399</v>
      </c>
      <c r="BU21" s="290">
        <f>Site5!I39</f>
        <v>930576.94002553006</v>
      </c>
      <c r="BV21" s="290">
        <f>Site5!J39</f>
        <v>987194.34542670683</v>
      </c>
      <c r="BW21" s="290">
        <f>Site5!K39</f>
        <v>1044601.1029420249</v>
      </c>
      <c r="BX21" s="290">
        <f>Site5!L39</f>
        <v>1102805.8986476422</v>
      </c>
      <c r="BY21" s="290">
        <f>Site5!M39</f>
        <v>1169078.8639129896</v>
      </c>
      <c r="BZ21" s="290">
        <f>Site5!N39</f>
        <v>1236275.2555820185</v>
      </c>
      <c r="CA21" s="290">
        <f>Site5!O39</f>
        <v>1304405.232080488</v>
      </c>
      <c r="CB21" s="290">
        <f>Site5!P39</f>
        <v>1380903.2633611469</v>
      </c>
      <c r="CD21" s="6">
        <f>Site6!E39</f>
        <v>0</v>
      </c>
      <c r="CE21" s="6">
        <f>Site6!F39</f>
        <v>0</v>
      </c>
      <c r="CF21" s="6">
        <f>Site6!G39</f>
        <v>449878.00528125005</v>
      </c>
      <c r="CG21" s="6">
        <f>Site6!H39</f>
        <v>648462.24985587504</v>
      </c>
      <c r="CH21" s="6">
        <f>Site6!I39</f>
        <v>746588.929251133</v>
      </c>
      <c r="CI21" s="6">
        <f>Site6!J39</f>
        <v>776920.49378556665</v>
      </c>
      <c r="CJ21" s="6">
        <f>Site6!K39</f>
        <v>822380.17710865266</v>
      </c>
      <c r="CK21" s="6">
        <f>Site6!L39</f>
        <v>868478.05390380928</v>
      </c>
      <c r="CL21" s="6">
        <f>Site6!M39</f>
        <v>920249.82754816138</v>
      </c>
      <c r="CM21" s="6">
        <f>Site6!N39</f>
        <v>972749.32590664667</v>
      </c>
      <c r="CN21" s="6">
        <f>Site6!O39</f>
        <v>1031088.9534473501</v>
      </c>
      <c r="CO21" s="6">
        <f>Site6!P39</f>
        <v>1090248.958251582</v>
      </c>
      <c r="CP21" s="16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</row>
    <row r="22" spans="1:107" s="6" customFormat="1" x14ac:dyDescent="0.25">
      <c r="B22" s="14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AC22" s="2"/>
      <c r="CP22" s="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s="6" customFormat="1" hidden="1" outlineLevel="2" x14ac:dyDescent="0.25">
      <c r="A23" s="18" t="s">
        <v>401</v>
      </c>
      <c r="B23" s="144" t="s">
        <v>372</v>
      </c>
      <c r="C23" s="2"/>
      <c r="D23" s="154">
        <f>Q23+AD23+AQ23+BD23+BQ23+CD23</f>
        <v>68689.62</v>
      </c>
      <c r="E23" s="154">
        <f t="shared" ref="E23:O38" si="9">R23+AE23+AR23+BE23+BR23+CE23</f>
        <v>70063.412400000001</v>
      </c>
      <c r="F23" s="154">
        <f t="shared" si="9"/>
        <v>104179.25700000001</v>
      </c>
      <c r="G23" s="154">
        <f t="shared" si="9"/>
        <v>106182.70425000001</v>
      </c>
      <c r="H23" s="154">
        <f t="shared" si="9"/>
        <v>108186.15150000001</v>
      </c>
      <c r="I23" s="154">
        <f t="shared" si="9"/>
        <v>110189.59875</v>
      </c>
      <c r="J23" s="154">
        <f t="shared" si="9"/>
        <v>112193.046</v>
      </c>
      <c r="K23" s="154">
        <f t="shared" si="9"/>
        <v>150086.81970000005</v>
      </c>
      <c r="L23" s="154">
        <f t="shared" si="9"/>
        <v>189239.9031</v>
      </c>
      <c r="M23" s="154">
        <f t="shared" si="9"/>
        <v>229652.29619999998</v>
      </c>
      <c r="N23" s="154">
        <f t="shared" si="9"/>
        <v>233544.70800000004</v>
      </c>
      <c r="O23" s="154">
        <f t="shared" si="9"/>
        <v>237437.11980000001</v>
      </c>
      <c r="P23" s="2"/>
      <c r="Q23" s="6">
        <f>Site1!E42</f>
        <v>68689.62</v>
      </c>
      <c r="R23" s="6">
        <f>Site1!F42</f>
        <v>70063.412400000001</v>
      </c>
      <c r="S23" s="6">
        <f>Site1!G42</f>
        <v>71437.204800000007</v>
      </c>
      <c r="T23" s="6">
        <f>Site1!H42</f>
        <v>72810.997199999998</v>
      </c>
      <c r="U23" s="6">
        <f>Site1!I42</f>
        <v>74184.789600000004</v>
      </c>
      <c r="V23" s="6">
        <f>Site1!J42</f>
        <v>75558.582000000009</v>
      </c>
      <c r="W23" s="6">
        <f>Site1!K42</f>
        <v>76932.374400000001</v>
      </c>
      <c r="X23" s="6">
        <f>Site1!L42</f>
        <v>78306.166800000021</v>
      </c>
      <c r="Y23" s="6">
        <f>Site1!M42</f>
        <v>79679.959199999998</v>
      </c>
      <c r="Z23" s="6">
        <f>Site1!N42</f>
        <v>81053.751600000003</v>
      </c>
      <c r="AA23" s="6">
        <f>Site1!O42</f>
        <v>82427.544000000009</v>
      </c>
      <c r="AB23" s="6">
        <f>Site1!P42</f>
        <v>83801.3364</v>
      </c>
      <c r="AC23" s="2"/>
      <c r="AD23" s="6">
        <f>Site2!E42</f>
        <v>0</v>
      </c>
      <c r="AE23" s="6">
        <f>Site2!F42</f>
        <v>0</v>
      </c>
      <c r="AF23" s="6">
        <f>Site2!G42</f>
        <v>0</v>
      </c>
      <c r="AG23" s="6">
        <f>Site2!H42</f>
        <v>0</v>
      </c>
      <c r="AH23" s="6">
        <f>Site2!I42</f>
        <v>0</v>
      </c>
      <c r="AI23" s="6">
        <f>Site2!J42</f>
        <v>0</v>
      </c>
      <c r="AJ23" s="6">
        <f>Site2!K42</f>
        <v>0</v>
      </c>
      <c r="AK23" s="6">
        <f>Site2!L42</f>
        <v>0</v>
      </c>
      <c r="AL23" s="6">
        <f>Site2!M42</f>
        <v>0</v>
      </c>
      <c r="AM23" s="6">
        <f>Site2!N42</f>
        <v>0</v>
      </c>
      <c r="AN23" s="6">
        <f>Site2!O42</f>
        <v>0</v>
      </c>
      <c r="AO23" s="6">
        <f>Site2!P42</f>
        <v>0</v>
      </c>
      <c r="AQ23" s="6">
        <f>Site3!E42</f>
        <v>0</v>
      </c>
      <c r="AR23" s="6">
        <f>Site3!F42</f>
        <v>0</v>
      </c>
      <c r="AS23" s="6">
        <f>Site3!G42</f>
        <v>0</v>
      </c>
      <c r="AT23" s="6">
        <f>Site3!H42</f>
        <v>0</v>
      </c>
      <c r="AU23" s="6">
        <f>Site3!I42</f>
        <v>0</v>
      </c>
      <c r="AV23" s="6">
        <f>Site3!J42</f>
        <v>0</v>
      </c>
      <c r="AW23" s="6">
        <f>Site3!K42</f>
        <v>0</v>
      </c>
      <c r="AX23" s="6">
        <f>Site3!L42</f>
        <v>0</v>
      </c>
      <c r="AY23" s="6">
        <f>Site3!M42</f>
        <v>36519.981299999999</v>
      </c>
      <c r="AZ23" s="6">
        <f>Site3!N42</f>
        <v>37149.636149999998</v>
      </c>
      <c r="BA23" s="6">
        <f>Site3!O42</f>
        <v>37779.291000000005</v>
      </c>
      <c r="BB23" s="6">
        <f>Site3!P42</f>
        <v>38408.945850000004</v>
      </c>
      <c r="BD23" s="6">
        <f>Site4!E42</f>
        <v>0</v>
      </c>
      <c r="BE23" s="6">
        <f>Site4!F42</f>
        <v>0</v>
      </c>
      <c r="BF23" s="6">
        <f>Site4!G42</f>
        <v>0</v>
      </c>
      <c r="BG23" s="6">
        <f>Site4!H42</f>
        <v>0</v>
      </c>
      <c r="BH23" s="6">
        <f>Site4!I42</f>
        <v>0</v>
      </c>
      <c r="BI23" s="6">
        <f>Site4!J42</f>
        <v>0</v>
      </c>
      <c r="BJ23" s="6">
        <f>Site4!K42</f>
        <v>0</v>
      </c>
      <c r="BK23" s="6">
        <f>Site4!L42</f>
        <v>35890.326450000008</v>
      </c>
      <c r="BL23" s="6">
        <f>Site4!M42</f>
        <v>36519.981299999999</v>
      </c>
      <c r="BM23" s="6">
        <f>Site4!N42</f>
        <v>37149.636149999998</v>
      </c>
      <c r="BN23" s="6">
        <f>Site4!O42</f>
        <v>37779.291000000005</v>
      </c>
      <c r="BO23" s="6">
        <f>Site4!P42</f>
        <v>38408.945850000004</v>
      </c>
      <c r="BQ23" s="6">
        <f>Site5!E42</f>
        <v>0</v>
      </c>
      <c r="BR23" s="6">
        <f>Site5!F42</f>
        <v>0</v>
      </c>
      <c r="BS23" s="6">
        <f>Site5!G42</f>
        <v>32742.052200000002</v>
      </c>
      <c r="BT23" s="6">
        <f>Site5!H42</f>
        <v>33371.707050000005</v>
      </c>
      <c r="BU23" s="6">
        <f>Site5!I42</f>
        <v>34001.361900000004</v>
      </c>
      <c r="BV23" s="6">
        <f>Site5!J42</f>
        <v>34631.016750000003</v>
      </c>
      <c r="BW23" s="6">
        <f>Site5!K42</f>
        <v>35260.671600000009</v>
      </c>
      <c r="BX23" s="6">
        <f>Site5!L42</f>
        <v>35890.326450000008</v>
      </c>
      <c r="BY23" s="6">
        <f>Site5!M42</f>
        <v>36519.981299999999</v>
      </c>
      <c r="BZ23" s="6">
        <f>Site5!N42</f>
        <v>74299.272299999997</v>
      </c>
      <c r="CA23" s="6">
        <f>Site5!O42</f>
        <v>75558.582000000009</v>
      </c>
      <c r="CB23" s="6">
        <f>Site5!P42</f>
        <v>76817.891700000007</v>
      </c>
      <c r="CD23" s="6">
        <f>Site6!E42</f>
        <v>0</v>
      </c>
      <c r="CE23" s="6">
        <f>Site6!F42</f>
        <v>0</v>
      </c>
      <c r="CF23" s="6">
        <f>Site6!G42</f>
        <v>0</v>
      </c>
      <c r="CG23" s="6">
        <f>Site6!H42</f>
        <v>0</v>
      </c>
      <c r="CH23" s="6">
        <f>Site6!I42</f>
        <v>0</v>
      </c>
      <c r="CI23" s="6">
        <f>Site6!J42</f>
        <v>0</v>
      </c>
      <c r="CJ23" s="6">
        <f>Site6!K42</f>
        <v>0</v>
      </c>
      <c r="CK23" s="6">
        <f>Site6!L42</f>
        <v>0</v>
      </c>
      <c r="CL23" s="6">
        <f>Site6!M42</f>
        <v>0</v>
      </c>
      <c r="CM23" s="6">
        <f>Site6!N42</f>
        <v>0</v>
      </c>
      <c r="CN23" s="6">
        <f>Site6!O42</f>
        <v>0</v>
      </c>
      <c r="CO23" s="6">
        <f>Site6!P42</f>
        <v>0</v>
      </c>
      <c r="CP23" s="2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s="6" customFormat="1" hidden="1" outlineLevel="2" x14ac:dyDescent="0.25">
      <c r="A24" s="18" t="s">
        <v>402</v>
      </c>
      <c r="B24" s="144" t="s">
        <v>372</v>
      </c>
      <c r="C24" s="2"/>
      <c r="D24" s="154">
        <f t="shared" ref="D24:D87" si="10">Q24+AD24+AQ24+BD24+BQ24+CD24</f>
        <v>54378.5</v>
      </c>
      <c r="E24" s="154">
        <f t="shared" si="9"/>
        <v>55466.07</v>
      </c>
      <c r="F24" s="154">
        <f t="shared" si="9"/>
        <v>56553.64</v>
      </c>
      <c r="G24" s="154">
        <f t="shared" si="9"/>
        <v>57641.21</v>
      </c>
      <c r="H24" s="154">
        <f t="shared" si="9"/>
        <v>58728.780000000006</v>
      </c>
      <c r="I24" s="154">
        <f t="shared" si="9"/>
        <v>59816.350000000006</v>
      </c>
      <c r="J24" s="154">
        <f t="shared" si="9"/>
        <v>60903.920000000006</v>
      </c>
      <c r="K24" s="154">
        <f t="shared" si="9"/>
        <v>61991.490000000005</v>
      </c>
      <c r="L24" s="154">
        <f t="shared" si="9"/>
        <v>63079.06</v>
      </c>
      <c r="M24" s="154">
        <f t="shared" si="9"/>
        <v>64166.630000000005</v>
      </c>
      <c r="N24" s="154">
        <f t="shared" si="9"/>
        <v>65254.200000000004</v>
      </c>
      <c r="O24" s="154">
        <f t="shared" si="9"/>
        <v>66341.77</v>
      </c>
      <c r="P24" s="2"/>
      <c r="Q24" s="6">
        <f>Site1!E43</f>
        <v>0</v>
      </c>
      <c r="R24" s="6">
        <f>Site1!F43</f>
        <v>0</v>
      </c>
      <c r="S24" s="6">
        <f>Site1!G43</f>
        <v>0</v>
      </c>
      <c r="T24" s="6">
        <f>Site1!H43</f>
        <v>0</v>
      </c>
      <c r="U24" s="6">
        <f>Site1!I43</f>
        <v>0</v>
      </c>
      <c r="V24" s="6">
        <f>Site1!J43</f>
        <v>0</v>
      </c>
      <c r="W24" s="6">
        <f>Site1!K43</f>
        <v>0</v>
      </c>
      <c r="X24" s="6">
        <f>Site1!L43</f>
        <v>0</v>
      </c>
      <c r="Y24" s="6">
        <f>Site1!M43</f>
        <v>0</v>
      </c>
      <c r="Z24" s="6">
        <f>Site1!N43</f>
        <v>0</v>
      </c>
      <c r="AA24" s="6">
        <f>Site1!O43</f>
        <v>0</v>
      </c>
      <c r="AB24" s="6">
        <f>Site1!P43</f>
        <v>0</v>
      </c>
      <c r="AC24" s="2"/>
      <c r="AD24" s="6">
        <f>Site2!E43</f>
        <v>54378.5</v>
      </c>
      <c r="AE24" s="6">
        <f>Site2!F43</f>
        <v>55466.07</v>
      </c>
      <c r="AF24" s="6">
        <f>Site2!G43</f>
        <v>56553.64</v>
      </c>
      <c r="AG24" s="6">
        <f>Site2!H43</f>
        <v>57641.21</v>
      </c>
      <c r="AH24" s="6">
        <f>Site2!I43</f>
        <v>58728.780000000006</v>
      </c>
      <c r="AI24" s="6">
        <f>Site2!J43</f>
        <v>59816.350000000006</v>
      </c>
      <c r="AJ24" s="6">
        <f>Site2!K43</f>
        <v>60903.920000000006</v>
      </c>
      <c r="AK24" s="6">
        <f>Site2!L43</f>
        <v>61991.490000000005</v>
      </c>
      <c r="AL24" s="6">
        <f>Site2!M43</f>
        <v>63079.06</v>
      </c>
      <c r="AM24" s="6">
        <f>Site2!N43</f>
        <v>64166.630000000005</v>
      </c>
      <c r="AN24" s="6">
        <f>Site2!O43</f>
        <v>65254.200000000004</v>
      </c>
      <c r="AO24" s="6">
        <f>Site2!P43</f>
        <v>66341.77</v>
      </c>
      <c r="AQ24" s="6">
        <f>Site3!E43</f>
        <v>0</v>
      </c>
      <c r="AR24" s="6">
        <f>Site3!F43</f>
        <v>0</v>
      </c>
      <c r="AS24" s="6">
        <f>Site3!G43</f>
        <v>0</v>
      </c>
      <c r="AT24" s="6">
        <f>Site3!H43</f>
        <v>0</v>
      </c>
      <c r="AU24" s="6">
        <f>Site3!I43</f>
        <v>0</v>
      </c>
      <c r="AV24" s="6">
        <f>Site3!J43</f>
        <v>0</v>
      </c>
      <c r="AW24" s="6">
        <f>Site3!K43</f>
        <v>0</v>
      </c>
      <c r="AX24" s="6">
        <f>Site3!L43</f>
        <v>0</v>
      </c>
      <c r="AY24" s="6">
        <f>Site3!M43</f>
        <v>0</v>
      </c>
      <c r="AZ24" s="6">
        <f>Site3!N43</f>
        <v>0</v>
      </c>
      <c r="BA24" s="6">
        <f>Site3!O43</f>
        <v>0</v>
      </c>
      <c r="BB24" s="6">
        <f>Site3!P43</f>
        <v>0</v>
      </c>
      <c r="BD24" s="6">
        <f>Site4!E43</f>
        <v>0</v>
      </c>
      <c r="BE24" s="6">
        <f>Site4!F43</f>
        <v>0</v>
      </c>
      <c r="BF24" s="6">
        <f>Site4!G43</f>
        <v>0</v>
      </c>
      <c r="BG24" s="6">
        <f>Site4!H43</f>
        <v>0</v>
      </c>
      <c r="BH24" s="6">
        <f>Site4!I43</f>
        <v>0</v>
      </c>
      <c r="BI24" s="6">
        <f>Site4!J43</f>
        <v>0</v>
      </c>
      <c r="BJ24" s="6">
        <f>Site4!K43</f>
        <v>0</v>
      </c>
      <c r="BK24" s="6">
        <f>Site4!L43</f>
        <v>0</v>
      </c>
      <c r="BL24" s="6">
        <f>Site4!M43</f>
        <v>0</v>
      </c>
      <c r="BM24" s="6">
        <f>Site4!N43</f>
        <v>0</v>
      </c>
      <c r="BN24" s="6">
        <f>Site4!O43</f>
        <v>0</v>
      </c>
      <c r="BO24" s="6">
        <f>Site4!P43</f>
        <v>0</v>
      </c>
      <c r="BQ24" s="6">
        <f>Site5!E43</f>
        <v>0</v>
      </c>
      <c r="BR24" s="6">
        <f>Site5!F43</f>
        <v>0</v>
      </c>
      <c r="BS24" s="6">
        <f>Site5!G43</f>
        <v>0</v>
      </c>
      <c r="BT24" s="6">
        <f>Site5!H43</f>
        <v>0</v>
      </c>
      <c r="BU24" s="6">
        <f>Site5!I43</f>
        <v>0</v>
      </c>
      <c r="BV24" s="6">
        <f>Site5!J43</f>
        <v>0</v>
      </c>
      <c r="BW24" s="6">
        <f>Site5!K43</f>
        <v>0</v>
      </c>
      <c r="BX24" s="6">
        <f>Site5!L43</f>
        <v>0</v>
      </c>
      <c r="BY24" s="6">
        <f>Site5!M43</f>
        <v>0</v>
      </c>
      <c r="BZ24" s="6">
        <f>Site5!N43</f>
        <v>0</v>
      </c>
      <c r="CA24" s="6">
        <f>Site5!O43</f>
        <v>0</v>
      </c>
      <c r="CB24" s="6">
        <f>Site5!P43</f>
        <v>0</v>
      </c>
      <c r="CD24" s="6">
        <f>Site6!E43</f>
        <v>0</v>
      </c>
      <c r="CE24" s="6">
        <f>Site6!F43</f>
        <v>0</v>
      </c>
      <c r="CF24" s="6">
        <f>Site6!G43</f>
        <v>0</v>
      </c>
      <c r="CG24" s="6">
        <f>Site6!H43</f>
        <v>0</v>
      </c>
      <c r="CH24" s="6">
        <f>Site6!I43</f>
        <v>0</v>
      </c>
      <c r="CI24" s="6">
        <f>Site6!J43</f>
        <v>0</v>
      </c>
      <c r="CJ24" s="6">
        <f>Site6!K43</f>
        <v>0</v>
      </c>
      <c r="CK24" s="6">
        <f>Site6!L43</f>
        <v>0</v>
      </c>
      <c r="CL24" s="6">
        <f>Site6!M43</f>
        <v>0</v>
      </c>
      <c r="CM24" s="6">
        <f>Site6!N43</f>
        <v>0</v>
      </c>
      <c r="CN24" s="6">
        <f>Site6!O43</f>
        <v>0</v>
      </c>
      <c r="CO24" s="6">
        <f>Site6!P43</f>
        <v>0</v>
      </c>
      <c r="CP24" s="2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s="6" customFormat="1" hidden="1" outlineLevel="1" x14ac:dyDescent="0.25">
      <c r="A25" s="18">
        <v>6111</v>
      </c>
      <c r="B25" s="144" t="s">
        <v>405</v>
      </c>
      <c r="C25" s="2"/>
      <c r="D25" s="154">
        <f t="shared" si="10"/>
        <v>123068.12</v>
      </c>
      <c r="E25" s="154">
        <f t="shared" si="9"/>
        <v>125529.48240000001</v>
      </c>
      <c r="F25" s="154">
        <f t="shared" si="9"/>
        <v>160732.897</v>
      </c>
      <c r="G25" s="154">
        <f t="shared" si="9"/>
        <v>163823.91425</v>
      </c>
      <c r="H25" s="154">
        <f t="shared" si="9"/>
        <v>166914.93150000001</v>
      </c>
      <c r="I25" s="154">
        <f t="shared" si="9"/>
        <v>170005.94875000004</v>
      </c>
      <c r="J25" s="154">
        <f t="shared" si="9"/>
        <v>173096.96600000001</v>
      </c>
      <c r="K25" s="154">
        <f t="shared" si="9"/>
        <v>212078.30970000004</v>
      </c>
      <c r="L25" s="154">
        <f t="shared" si="9"/>
        <v>252318.96309999994</v>
      </c>
      <c r="M25" s="154">
        <f t="shared" si="9"/>
        <v>293818.92620000005</v>
      </c>
      <c r="N25" s="154">
        <f t="shared" si="9"/>
        <v>298798.908</v>
      </c>
      <c r="O25" s="154">
        <f t="shared" si="9"/>
        <v>303778.8898</v>
      </c>
      <c r="P25" s="2"/>
      <c r="Q25" s="6">
        <f>Site1!E44</f>
        <v>68689.62</v>
      </c>
      <c r="R25" s="6">
        <f>Site1!F44</f>
        <v>70063.412400000001</v>
      </c>
      <c r="S25" s="6">
        <f>Site1!G44</f>
        <v>71437.204800000007</v>
      </c>
      <c r="T25" s="6">
        <f>Site1!H44</f>
        <v>72810.997199999998</v>
      </c>
      <c r="U25" s="6">
        <f>Site1!I44</f>
        <v>74184.789600000004</v>
      </c>
      <c r="V25" s="6">
        <f>Site1!J44</f>
        <v>75558.582000000009</v>
      </c>
      <c r="W25" s="6">
        <f>Site1!K44</f>
        <v>76932.374400000001</v>
      </c>
      <c r="X25" s="6">
        <f>Site1!L44</f>
        <v>78306.166800000021</v>
      </c>
      <c r="Y25" s="6">
        <f>Site1!M44</f>
        <v>79679.959199999998</v>
      </c>
      <c r="Z25" s="6">
        <f>Site1!N44</f>
        <v>81053.751600000003</v>
      </c>
      <c r="AA25" s="6">
        <f>Site1!O44</f>
        <v>82427.544000000009</v>
      </c>
      <c r="AB25" s="6">
        <f>Site1!P44</f>
        <v>83801.3364</v>
      </c>
      <c r="AC25" s="2"/>
      <c r="AD25" s="6">
        <f>Site2!E44</f>
        <v>54378.5</v>
      </c>
      <c r="AE25" s="6">
        <f>Site2!F44</f>
        <v>55466.07</v>
      </c>
      <c r="AF25" s="6">
        <f>Site2!G44</f>
        <v>56553.64</v>
      </c>
      <c r="AG25" s="6">
        <f>Site2!H44</f>
        <v>57641.21</v>
      </c>
      <c r="AH25" s="6">
        <f>Site2!I44</f>
        <v>58728.780000000006</v>
      </c>
      <c r="AI25" s="6">
        <f>Site2!J44</f>
        <v>59816.350000000006</v>
      </c>
      <c r="AJ25" s="6">
        <f>Site2!K44</f>
        <v>60903.920000000006</v>
      </c>
      <c r="AK25" s="6">
        <f>Site2!L44</f>
        <v>61991.490000000005</v>
      </c>
      <c r="AL25" s="6">
        <f>Site2!M44</f>
        <v>63079.06</v>
      </c>
      <c r="AM25" s="6">
        <f>Site2!N44</f>
        <v>64166.630000000005</v>
      </c>
      <c r="AN25" s="6">
        <f>Site2!O44</f>
        <v>65254.200000000004</v>
      </c>
      <c r="AO25" s="6">
        <f>Site2!P44</f>
        <v>66341.77</v>
      </c>
      <c r="AQ25" s="6">
        <f>Site3!E44</f>
        <v>0</v>
      </c>
      <c r="AR25" s="6">
        <f>Site3!F44</f>
        <v>0</v>
      </c>
      <c r="AS25" s="6">
        <f>Site3!G44</f>
        <v>0</v>
      </c>
      <c r="AT25" s="6">
        <f>Site3!H44</f>
        <v>0</v>
      </c>
      <c r="AU25" s="6">
        <f>Site3!I44</f>
        <v>0</v>
      </c>
      <c r="AV25" s="6">
        <f>Site3!J44</f>
        <v>0</v>
      </c>
      <c r="AW25" s="6">
        <f>Site3!K44</f>
        <v>0</v>
      </c>
      <c r="AX25" s="6">
        <f>Site3!L44</f>
        <v>0</v>
      </c>
      <c r="AY25" s="6">
        <f>Site3!M44</f>
        <v>36519.981299999999</v>
      </c>
      <c r="AZ25" s="6">
        <f>Site3!N44</f>
        <v>37149.636149999998</v>
      </c>
      <c r="BA25" s="6">
        <f>Site3!O44</f>
        <v>37779.291000000005</v>
      </c>
      <c r="BB25" s="6">
        <f>Site3!P44</f>
        <v>38408.945850000004</v>
      </c>
      <c r="BD25" s="6">
        <f>Site4!E44</f>
        <v>0</v>
      </c>
      <c r="BE25" s="6">
        <f>Site4!F44</f>
        <v>0</v>
      </c>
      <c r="BF25" s="6">
        <f>Site4!G44</f>
        <v>0</v>
      </c>
      <c r="BG25" s="6">
        <f>Site4!H44</f>
        <v>0</v>
      </c>
      <c r="BH25" s="6">
        <f>Site4!I44</f>
        <v>0</v>
      </c>
      <c r="BI25" s="6">
        <f>Site4!J44</f>
        <v>0</v>
      </c>
      <c r="BJ25" s="6">
        <f>Site4!K44</f>
        <v>0</v>
      </c>
      <c r="BK25" s="6">
        <f>Site4!L44</f>
        <v>35890.326450000008</v>
      </c>
      <c r="BL25" s="6">
        <f>Site4!M44</f>
        <v>36519.981299999999</v>
      </c>
      <c r="BM25" s="6">
        <f>Site4!N44</f>
        <v>37149.636149999998</v>
      </c>
      <c r="BN25" s="6">
        <f>Site4!O44</f>
        <v>37779.291000000005</v>
      </c>
      <c r="BO25" s="6">
        <f>Site4!P44</f>
        <v>38408.945850000004</v>
      </c>
      <c r="BQ25" s="6">
        <f>Site5!E44</f>
        <v>0</v>
      </c>
      <c r="BR25" s="6">
        <f>Site5!F44</f>
        <v>0</v>
      </c>
      <c r="BS25" s="6">
        <f>Site5!G44</f>
        <v>32742.052200000002</v>
      </c>
      <c r="BT25" s="6">
        <f>Site5!H44</f>
        <v>33371.707050000005</v>
      </c>
      <c r="BU25" s="6">
        <f>Site5!I44</f>
        <v>34001.361900000004</v>
      </c>
      <c r="BV25" s="6">
        <f>Site5!J44</f>
        <v>34631.016750000003</v>
      </c>
      <c r="BW25" s="6">
        <f>Site5!K44</f>
        <v>35260.671600000009</v>
      </c>
      <c r="BX25" s="6">
        <f>Site5!L44</f>
        <v>35890.326450000008</v>
      </c>
      <c r="BY25" s="6">
        <f>Site5!M44</f>
        <v>36519.981299999999</v>
      </c>
      <c r="BZ25" s="6">
        <f>Site5!N44</f>
        <v>74299.272299999997</v>
      </c>
      <c r="CA25" s="6">
        <f>Site5!O44</f>
        <v>75558.582000000009</v>
      </c>
      <c r="CB25" s="6">
        <f>Site5!P44</f>
        <v>76817.891700000007</v>
      </c>
      <c r="CD25" s="6">
        <f>Site6!E44</f>
        <v>0</v>
      </c>
      <c r="CE25" s="6">
        <f>Site6!F44</f>
        <v>0</v>
      </c>
      <c r="CF25" s="6">
        <f>Site6!G44</f>
        <v>0</v>
      </c>
      <c r="CG25" s="6">
        <f>Site6!H44</f>
        <v>0</v>
      </c>
      <c r="CH25" s="6">
        <f>Site6!I44</f>
        <v>0</v>
      </c>
      <c r="CI25" s="6">
        <f>Site6!J44</f>
        <v>0</v>
      </c>
      <c r="CJ25" s="6">
        <f>Site6!K44</f>
        <v>0</v>
      </c>
      <c r="CK25" s="6">
        <f>Site6!L44</f>
        <v>0</v>
      </c>
      <c r="CL25" s="6">
        <f>Site6!M44</f>
        <v>0</v>
      </c>
      <c r="CM25" s="6">
        <f>Site6!N44</f>
        <v>0</v>
      </c>
      <c r="CN25" s="6">
        <f>Site6!O44</f>
        <v>0</v>
      </c>
      <c r="CO25" s="6">
        <f>Site6!P44</f>
        <v>0</v>
      </c>
      <c r="CP25" s="2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s="6" customFormat="1" hidden="1" outlineLevel="2" x14ac:dyDescent="0.25">
      <c r="A26" s="18" t="s">
        <v>403</v>
      </c>
      <c r="B26" s="144" t="s">
        <v>382</v>
      </c>
      <c r="C26" s="2"/>
      <c r="D26" s="154">
        <f t="shared" si="10"/>
        <v>0</v>
      </c>
      <c r="E26" s="154">
        <f t="shared" si="9"/>
        <v>0</v>
      </c>
      <c r="F26" s="154">
        <f t="shared" si="9"/>
        <v>0</v>
      </c>
      <c r="G26" s="154">
        <f t="shared" si="9"/>
        <v>0</v>
      </c>
      <c r="H26" s="154">
        <f t="shared" si="9"/>
        <v>0</v>
      </c>
      <c r="I26" s="154">
        <f t="shared" si="9"/>
        <v>0</v>
      </c>
      <c r="J26" s="154">
        <f t="shared" si="9"/>
        <v>0</v>
      </c>
      <c r="K26" s="154">
        <f t="shared" si="9"/>
        <v>0</v>
      </c>
      <c r="L26" s="154">
        <f t="shared" si="9"/>
        <v>0</v>
      </c>
      <c r="M26" s="154">
        <f t="shared" si="9"/>
        <v>0</v>
      </c>
      <c r="N26" s="154">
        <f t="shared" si="9"/>
        <v>0</v>
      </c>
      <c r="O26" s="154">
        <f t="shared" si="9"/>
        <v>0</v>
      </c>
      <c r="P26" s="2"/>
      <c r="Q26" s="6">
        <f>Site1!E45</f>
        <v>0</v>
      </c>
      <c r="R26" s="6">
        <f>Site1!F45</f>
        <v>0</v>
      </c>
      <c r="S26" s="6">
        <f>Site1!G45</f>
        <v>0</v>
      </c>
      <c r="T26" s="6">
        <f>Site1!H45</f>
        <v>0</v>
      </c>
      <c r="U26" s="6">
        <f>Site1!I45</f>
        <v>0</v>
      </c>
      <c r="V26" s="6">
        <f>Site1!J45</f>
        <v>0</v>
      </c>
      <c r="W26" s="6">
        <f>Site1!K45</f>
        <v>0</v>
      </c>
      <c r="X26" s="6">
        <f>Site1!L45</f>
        <v>0</v>
      </c>
      <c r="Y26" s="6">
        <f>Site1!M45</f>
        <v>0</v>
      </c>
      <c r="Z26" s="6">
        <f>Site1!N45</f>
        <v>0</v>
      </c>
      <c r="AA26" s="6">
        <f>Site1!O45</f>
        <v>0</v>
      </c>
      <c r="AB26" s="6">
        <f>Site1!P45</f>
        <v>0</v>
      </c>
      <c r="AC26" s="2"/>
      <c r="AD26" s="6">
        <f>Site2!E45</f>
        <v>0</v>
      </c>
      <c r="AE26" s="6">
        <f>Site2!F45</f>
        <v>0</v>
      </c>
      <c r="AF26" s="6">
        <f>Site2!G45</f>
        <v>0</v>
      </c>
      <c r="AG26" s="6">
        <f>Site2!H45</f>
        <v>0</v>
      </c>
      <c r="AH26" s="6">
        <f>Site2!I45</f>
        <v>0</v>
      </c>
      <c r="AI26" s="6">
        <f>Site2!J45</f>
        <v>0</v>
      </c>
      <c r="AJ26" s="6">
        <f>Site2!K45</f>
        <v>0</v>
      </c>
      <c r="AK26" s="6">
        <f>Site2!L45</f>
        <v>0</v>
      </c>
      <c r="AL26" s="6">
        <f>Site2!M45</f>
        <v>0</v>
      </c>
      <c r="AM26" s="6">
        <f>Site2!N45</f>
        <v>0</v>
      </c>
      <c r="AN26" s="6">
        <f>Site2!O45</f>
        <v>0</v>
      </c>
      <c r="AO26" s="6">
        <f>Site2!P45</f>
        <v>0</v>
      </c>
      <c r="AQ26" s="6">
        <f>Site3!E45</f>
        <v>0</v>
      </c>
      <c r="AR26" s="6">
        <f>Site3!F45</f>
        <v>0</v>
      </c>
      <c r="AS26" s="6">
        <f>Site3!G45</f>
        <v>0</v>
      </c>
      <c r="AT26" s="6">
        <f>Site3!H45</f>
        <v>0</v>
      </c>
      <c r="AU26" s="6">
        <f>Site3!I45</f>
        <v>0</v>
      </c>
      <c r="AV26" s="6">
        <f>Site3!J45</f>
        <v>0</v>
      </c>
      <c r="AW26" s="6">
        <f>Site3!K45</f>
        <v>0</v>
      </c>
      <c r="AX26" s="6">
        <f>Site3!L45</f>
        <v>0</v>
      </c>
      <c r="AY26" s="6">
        <f>Site3!M45</f>
        <v>0</v>
      </c>
      <c r="AZ26" s="6">
        <f>Site3!N45</f>
        <v>0</v>
      </c>
      <c r="BA26" s="6">
        <f>Site3!O45</f>
        <v>0</v>
      </c>
      <c r="BB26" s="6">
        <f>Site3!P45</f>
        <v>0</v>
      </c>
      <c r="BD26" s="6">
        <f>Site4!E45</f>
        <v>0</v>
      </c>
      <c r="BE26" s="6">
        <f>Site4!F45</f>
        <v>0</v>
      </c>
      <c r="BF26" s="6">
        <f>Site4!G45</f>
        <v>0</v>
      </c>
      <c r="BG26" s="6">
        <f>Site4!H45</f>
        <v>0</v>
      </c>
      <c r="BH26" s="6">
        <f>Site4!I45</f>
        <v>0</v>
      </c>
      <c r="BI26" s="6">
        <f>Site4!J45</f>
        <v>0</v>
      </c>
      <c r="BJ26" s="6">
        <f>Site4!K45</f>
        <v>0</v>
      </c>
      <c r="BK26" s="6">
        <f>Site4!L45</f>
        <v>0</v>
      </c>
      <c r="BL26" s="6">
        <f>Site4!M45</f>
        <v>0</v>
      </c>
      <c r="BM26" s="6">
        <f>Site4!N45</f>
        <v>0</v>
      </c>
      <c r="BN26" s="6">
        <f>Site4!O45</f>
        <v>0</v>
      </c>
      <c r="BO26" s="6">
        <f>Site4!P45</f>
        <v>0</v>
      </c>
      <c r="BQ26" s="6">
        <f>Site5!E45</f>
        <v>0</v>
      </c>
      <c r="BR26" s="6">
        <f>Site5!F45</f>
        <v>0</v>
      </c>
      <c r="BS26" s="6">
        <f>Site5!G45</f>
        <v>0</v>
      </c>
      <c r="BT26" s="6">
        <f>Site5!H45</f>
        <v>0</v>
      </c>
      <c r="BU26" s="6">
        <f>Site5!I45</f>
        <v>0</v>
      </c>
      <c r="BV26" s="6">
        <f>Site5!J45</f>
        <v>0</v>
      </c>
      <c r="BW26" s="6">
        <f>Site5!K45</f>
        <v>0</v>
      </c>
      <c r="BX26" s="6">
        <f>Site5!L45</f>
        <v>0</v>
      </c>
      <c r="BY26" s="6">
        <f>Site5!M45</f>
        <v>0</v>
      </c>
      <c r="BZ26" s="6">
        <f>Site5!N45</f>
        <v>0</v>
      </c>
      <c r="CA26" s="6">
        <f>Site5!O45</f>
        <v>0</v>
      </c>
      <c r="CB26" s="6">
        <f>Site5!P45</f>
        <v>0</v>
      </c>
      <c r="CD26" s="6">
        <f>Site6!E45</f>
        <v>0</v>
      </c>
      <c r="CE26" s="6">
        <f>Site6!F45</f>
        <v>0</v>
      </c>
      <c r="CF26" s="6">
        <f>Site6!G45</f>
        <v>0</v>
      </c>
      <c r="CG26" s="6">
        <f>Site6!H45</f>
        <v>0</v>
      </c>
      <c r="CH26" s="6">
        <f>Site6!I45</f>
        <v>0</v>
      </c>
      <c r="CI26" s="6">
        <f>Site6!J45</f>
        <v>0</v>
      </c>
      <c r="CJ26" s="6">
        <f>Site6!K45</f>
        <v>0</v>
      </c>
      <c r="CK26" s="6">
        <f>Site6!L45</f>
        <v>0</v>
      </c>
      <c r="CL26" s="6">
        <f>Site6!M45</f>
        <v>0</v>
      </c>
      <c r="CM26" s="6">
        <f>Site6!N45</f>
        <v>0</v>
      </c>
      <c r="CN26" s="6">
        <f>Site6!O45</f>
        <v>0</v>
      </c>
      <c r="CO26" s="6">
        <f>Site6!P45</f>
        <v>0</v>
      </c>
      <c r="CP26" s="2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s="6" customFormat="1" hidden="1" outlineLevel="2" x14ac:dyDescent="0.25">
      <c r="A27" s="18" t="s">
        <v>404</v>
      </c>
      <c r="B27" s="144" t="s">
        <v>382</v>
      </c>
      <c r="C27" s="2"/>
      <c r="D27" s="154">
        <f t="shared" si="10"/>
        <v>430084.5</v>
      </c>
      <c r="E27" s="154">
        <f t="shared" si="9"/>
        <v>438686.19000000006</v>
      </c>
      <c r="F27" s="154">
        <f t="shared" si="9"/>
        <v>534688.96000000008</v>
      </c>
      <c r="G27" s="154">
        <f t="shared" si="9"/>
        <v>544971.43999999994</v>
      </c>
      <c r="H27" s="154">
        <f t="shared" si="9"/>
        <v>555253.92000000004</v>
      </c>
      <c r="I27" s="154">
        <f t="shared" si="9"/>
        <v>565536.40000000014</v>
      </c>
      <c r="J27" s="154">
        <f t="shared" si="9"/>
        <v>575818.88000000012</v>
      </c>
      <c r="K27" s="154">
        <f t="shared" si="9"/>
        <v>586101.3600000001</v>
      </c>
      <c r="L27" s="154">
        <f t="shared" si="9"/>
        <v>596383.84000000008</v>
      </c>
      <c r="M27" s="154">
        <f t="shared" si="9"/>
        <v>606666.31999999995</v>
      </c>
      <c r="N27" s="154">
        <f t="shared" si="9"/>
        <v>616948.80000000005</v>
      </c>
      <c r="O27" s="154">
        <f t="shared" si="9"/>
        <v>627231.28</v>
      </c>
      <c r="P27" s="2"/>
      <c r="Q27" s="6">
        <f>Site1!E46</f>
        <v>84039.5</v>
      </c>
      <c r="R27" s="6">
        <f>Site1!F46</f>
        <v>85720.290000000008</v>
      </c>
      <c r="S27" s="6">
        <f>Site1!G46</f>
        <v>87401.08</v>
      </c>
      <c r="T27" s="6">
        <f>Site1!H46</f>
        <v>89081.87</v>
      </c>
      <c r="U27" s="6">
        <f>Site1!I46</f>
        <v>90762.66</v>
      </c>
      <c r="V27" s="6">
        <f>Site1!J46</f>
        <v>92443.450000000012</v>
      </c>
      <c r="W27" s="6">
        <f>Site1!K46</f>
        <v>94124.24000000002</v>
      </c>
      <c r="X27" s="6">
        <f>Site1!L46</f>
        <v>95805.030000000013</v>
      </c>
      <c r="Y27" s="6">
        <f>Site1!M46</f>
        <v>97485.82</v>
      </c>
      <c r="Z27" s="6">
        <f>Site1!N46</f>
        <v>99166.61</v>
      </c>
      <c r="AA27" s="6">
        <f>Site1!O46</f>
        <v>100847.40000000001</v>
      </c>
      <c r="AB27" s="6">
        <f>Site1!P46</f>
        <v>102528.19</v>
      </c>
      <c r="AC27" s="2"/>
      <c r="AD27" s="6">
        <f>Site2!E46</f>
        <v>88983</v>
      </c>
      <c r="AE27" s="6">
        <f>Site2!F46</f>
        <v>90762.66</v>
      </c>
      <c r="AF27" s="6">
        <f>Site2!G46</f>
        <v>92542.32</v>
      </c>
      <c r="AG27" s="6">
        <f>Site2!H46</f>
        <v>94321.98</v>
      </c>
      <c r="AH27" s="6">
        <f>Site2!I46</f>
        <v>96101.64</v>
      </c>
      <c r="AI27" s="6">
        <f>Site2!J46</f>
        <v>97881.300000000017</v>
      </c>
      <c r="AJ27" s="6">
        <f>Site2!K46</f>
        <v>99660.960000000021</v>
      </c>
      <c r="AK27" s="6">
        <f>Site2!L46</f>
        <v>101440.62000000001</v>
      </c>
      <c r="AL27" s="6">
        <f>Site2!M46</f>
        <v>103220.28</v>
      </c>
      <c r="AM27" s="6">
        <f>Site2!N46</f>
        <v>104999.94</v>
      </c>
      <c r="AN27" s="6">
        <f>Site2!O46</f>
        <v>106779.6</v>
      </c>
      <c r="AO27" s="6">
        <f>Site2!P46</f>
        <v>108559.26000000001</v>
      </c>
      <c r="AQ27" s="6">
        <f>Site3!E46</f>
        <v>84039.5</v>
      </c>
      <c r="AR27" s="6">
        <f>Site3!F46</f>
        <v>85720.290000000008</v>
      </c>
      <c r="AS27" s="6">
        <f>Site3!G46</f>
        <v>87401.08</v>
      </c>
      <c r="AT27" s="6">
        <f>Site3!H46</f>
        <v>89081.87</v>
      </c>
      <c r="AU27" s="6">
        <f>Site3!I46</f>
        <v>90762.66</v>
      </c>
      <c r="AV27" s="6">
        <f>Site3!J46</f>
        <v>92443.450000000012</v>
      </c>
      <c r="AW27" s="6">
        <f>Site3!K46</f>
        <v>94124.24000000002</v>
      </c>
      <c r="AX27" s="6">
        <f>Site3!L46</f>
        <v>95805.030000000013</v>
      </c>
      <c r="AY27" s="6">
        <f>Site3!M46</f>
        <v>97485.82</v>
      </c>
      <c r="AZ27" s="6">
        <f>Site3!N46</f>
        <v>99166.61</v>
      </c>
      <c r="BA27" s="6">
        <f>Site3!O46</f>
        <v>100847.40000000001</v>
      </c>
      <c r="BB27" s="6">
        <f>Site3!P46</f>
        <v>102528.19</v>
      </c>
      <c r="BD27" s="6">
        <f>Site4!E46</f>
        <v>84039.5</v>
      </c>
      <c r="BE27" s="6">
        <f>Site4!F46</f>
        <v>85720.290000000008</v>
      </c>
      <c r="BF27" s="6">
        <f>Site4!G46</f>
        <v>87401.08</v>
      </c>
      <c r="BG27" s="6">
        <f>Site4!H46</f>
        <v>89081.87</v>
      </c>
      <c r="BH27" s="6">
        <f>Site4!I46</f>
        <v>90762.66</v>
      </c>
      <c r="BI27" s="6">
        <f>Site4!J46</f>
        <v>92443.450000000012</v>
      </c>
      <c r="BJ27" s="6">
        <f>Site4!K46</f>
        <v>94124.24000000002</v>
      </c>
      <c r="BK27" s="6">
        <f>Site4!L46</f>
        <v>95805.030000000013</v>
      </c>
      <c r="BL27" s="6">
        <f>Site4!M46</f>
        <v>97485.82</v>
      </c>
      <c r="BM27" s="6">
        <f>Site4!N46</f>
        <v>99166.61</v>
      </c>
      <c r="BN27" s="6">
        <f>Site4!O46</f>
        <v>100847.40000000001</v>
      </c>
      <c r="BO27" s="6">
        <f>Site4!P46</f>
        <v>102528.19</v>
      </c>
      <c r="BQ27" s="6">
        <f>Site5!E46</f>
        <v>88983</v>
      </c>
      <c r="BR27" s="6">
        <f>Site5!F46</f>
        <v>90762.66</v>
      </c>
      <c r="BS27" s="6">
        <f>Site5!G46</f>
        <v>92542.32</v>
      </c>
      <c r="BT27" s="6">
        <f>Site5!H46</f>
        <v>94321.98</v>
      </c>
      <c r="BU27" s="6">
        <f>Site5!I46</f>
        <v>96101.64</v>
      </c>
      <c r="BV27" s="6">
        <f>Site5!J46</f>
        <v>97881.300000000017</v>
      </c>
      <c r="BW27" s="6">
        <f>Site5!K46</f>
        <v>99660.960000000021</v>
      </c>
      <c r="BX27" s="6">
        <f>Site5!L46</f>
        <v>101440.62000000001</v>
      </c>
      <c r="BY27" s="6">
        <f>Site5!M46</f>
        <v>103220.28</v>
      </c>
      <c r="BZ27" s="6">
        <f>Site5!N46</f>
        <v>104999.94</v>
      </c>
      <c r="CA27" s="6">
        <f>Site5!O46</f>
        <v>106779.6</v>
      </c>
      <c r="CB27" s="6">
        <f>Site5!P46</f>
        <v>108559.26000000001</v>
      </c>
      <c r="CD27" s="6">
        <f>Site6!E46</f>
        <v>0</v>
      </c>
      <c r="CE27" s="6">
        <f>Site6!F46</f>
        <v>0</v>
      </c>
      <c r="CF27" s="6">
        <f>Site6!G46</f>
        <v>87401.08</v>
      </c>
      <c r="CG27" s="6">
        <f>Site6!H46</f>
        <v>89081.87</v>
      </c>
      <c r="CH27" s="6">
        <f>Site6!I46</f>
        <v>90762.66</v>
      </c>
      <c r="CI27" s="6">
        <f>Site6!J46</f>
        <v>92443.450000000012</v>
      </c>
      <c r="CJ27" s="6">
        <f>Site6!K46</f>
        <v>94124.24000000002</v>
      </c>
      <c r="CK27" s="6">
        <f>Site6!L46</f>
        <v>95805.030000000013</v>
      </c>
      <c r="CL27" s="6">
        <f>Site6!M46</f>
        <v>97485.82</v>
      </c>
      <c r="CM27" s="6">
        <f>Site6!N46</f>
        <v>99166.61</v>
      </c>
      <c r="CN27" s="6">
        <f>Site6!O46</f>
        <v>100847.40000000001</v>
      </c>
      <c r="CO27" s="6">
        <f>Site6!P46</f>
        <v>102528.19</v>
      </c>
      <c r="CP27" s="2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s="6" customFormat="1" hidden="1" outlineLevel="1" x14ac:dyDescent="0.25">
      <c r="A28" s="18">
        <v>6114</v>
      </c>
      <c r="B28" s="144" t="s">
        <v>569</v>
      </c>
      <c r="C28" s="2"/>
      <c r="D28" s="154">
        <f t="shared" si="10"/>
        <v>430084.5</v>
      </c>
      <c r="E28" s="154">
        <f t="shared" si="9"/>
        <v>438686.19000000006</v>
      </c>
      <c r="F28" s="154">
        <f t="shared" si="9"/>
        <v>534688.96000000008</v>
      </c>
      <c r="G28" s="154">
        <f t="shared" si="9"/>
        <v>544971.43999999994</v>
      </c>
      <c r="H28" s="154">
        <f t="shared" si="9"/>
        <v>555253.92000000004</v>
      </c>
      <c r="I28" s="154">
        <f t="shared" si="9"/>
        <v>565536.40000000014</v>
      </c>
      <c r="J28" s="154">
        <f t="shared" si="9"/>
        <v>575818.88000000012</v>
      </c>
      <c r="K28" s="154">
        <f t="shared" si="9"/>
        <v>586101.3600000001</v>
      </c>
      <c r="L28" s="154">
        <f t="shared" si="9"/>
        <v>596383.84000000008</v>
      </c>
      <c r="M28" s="154">
        <f t="shared" si="9"/>
        <v>606666.31999999995</v>
      </c>
      <c r="N28" s="154">
        <f t="shared" si="9"/>
        <v>616948.80000000005</v>
      </c>
      <c r="O28" s="154">
        <f t="shared" si="9"/>
        <v>627231.28</v>
      </c>
      <c r="P28" s="2"/>
      <c r="Q28" s="6">
        <f>Site1!E47</f>
        <v>84039.5</v>
      </c>
      <c r="R28" s="6">
        <f>Site1!F47</f>
        <v>85720.290000000008</v>
      </c>
      <c r="S28" s="6">
        <f>Site1!G47</f>
        <v>87401.08</v>
      </c>
      <c r="T28" s="6">
        <f>Site1!H47</f>
        <v>89081.87</v>
      </c>
      <c r="U28" s="6">
        <f>Site1!I47</f>
        <v>90762.66</v>
      </c>
      <c r="V28" s="6">
        <f>Site1!J47</f>
        <v>92443.450000000012</v>
      </c>
      <c r="W28" s="6">
        <f>Site1!K47</f>
        <v>94124.24000000002</v>
      </c>
      <c r="X28" s="6">
        <f>Site1!L47</f>
        <v>95805.030000000013</v>
      </c>
      <c r="Y28" s="6">
        <f>Site1!M47</f>
        <v>97485.82</v>
      </c>
      <c r="Z28" s="6">
        <f>Site1!N47</f>
        <v>99166.61</v>
      </c>
      <c r="AA28" s="6">
        <f>Site1!O47</f>
        <v>100847.40000000001</v>
      </c>
      <c r="AB28" s="6">
        <f>Site1!P47</f>
        <v>102528.19</v>
      </c>
      <c r="AC28" s="2"/>
      <c r="AD28" s="6">
        <f>Site2!E47</f>
        <v>88983</v>
      </c>
      <c r="AE28" s="6">
        <f>Site2!F47</f>
        <v>90762.66</v>
      </c>
      <c r="AF28" s="6">
        <f>Site2!G47</f>
        <v>92542.32</v>
      </c>
      <c r="AG28" s="6">
        <f>Site2!H47</f>
        <v>94321.98</v>
      </c>
      <c r="AH28" s="6">
        <f>Site2!I47</f>
        <v>96101.64</v>
      </c>
      <c r="AI28" s="6">
        <f>Site2!J47</f>
        <v>97881.300000000017</v>
      </c>
      <c r="AJ28" s="6">
        <f>Site2!K47</f>
        <v>99660.960000000021</v>
      </c>
      <c r="AK28" s="6">
        <f>Site2!L47</f>
        <v>101440.62000000001</v>
      </c>
      <c r="AL28" s="6">
        <f>Site2!M47</f>
        <v>103220.28</v>
      </c>
      <c r="AM28" s="6">
        <f>Site2!N47</f>
        <v>104999.94</v>
      </c>
      <c r="AN28" s="6">
        <f>Site2!O47</f>
        <v>106779.6</v>
      </c>
      <c r="AO28" s="6">
        <f>Site2!P47</f>
        <v>108559.26000000001</v>
      </c>
      <c r="AQ28" s="6">
        <f>Site3!E47</f>
        <v>84039.5</v>
      </c>
      <c r="AR28" s="6">
        <f>Site3!F47</f>
        <v>85720.290000000008</v>
      </c>
      <c r="AS28" s="6">
        <f>Site3!G47</f>
        <v>87401.08</v>
      </c>
      <c r="AT28" s="6">
        <f>Site3!H47</f>
        <v>89081.87</v>
      </c>
      <c r="AU28" s="6">
        <f>Site3!I47</f>
        <v>90762.66</v>
      </c>
      <c r="AV28" s="6">
        <f>Site3!J47</f>
        <v>92443.450000000012</v>
      </c>
      <c r="AW28" s="6">
        <f>Site3!K47</f>
        <v>94124.24000000002</v>
      </c>
      <c r="AX28" s="6">
        <f>Site3!L47</f>
        <v>95805.030000000013</v>
      </c>
      <c r="AY28" s="6">
        <f>Site3!M47</f>
        <v>97485.82</v>
      </c>
      <c r="AZ28" s="6">
        <f>Site3!N47</f>
        <v>99166.61</v>
      </c>
      <c r="BA28" s="6">
        <f>Site3!O47</f>
        <v>100847.40000000001</v>
      </c>
      <c r="BB28" s="6">
        <f>Site3!P47</f>
        <v>102528.19</v>
      </c>
      <c r="BD28" s="6">
        <f>Site4!E47</f>
        <v>84039.5</v>
      </c>
      <c r="BE28" s="6">
        <f>Site4!F47</f>
        <v>85720.290000000008</v>
      </c>
      <c r="BF28" s="6">
        <f>Site4!G47</f>
        <v>87401.08</v>
      </c>
      <c r="BG28" s="6">
        <f>Site4!H47</f>
        <v>89081.87</v>
      </c>
      <c r="BH28" s="6">
        <f>Site4!I47</f>
        <v>90762.66</v>
      </c>
      <c r="BI28" s="6">
        <f>Site4!J47</f>
        <v>92443.450000000012</v>
      </c>
      <c r="BJ28" s="6">
        <f>Site4!K47</f>
        <v>94124.24000000002</v>
      </c>
      <c r="BK28" s="6">
        <f>Site4!L47</f>
        <v>95805.030000000013</v>
      </c>
      <c r="BL28" s="6">
        <f>Site4!M47</f>
        <v>97485.82</v>
      </c>
      <c r="BM28" s="6">
        <f>Site4!N47</f>
        <v>99166.61</v>
      </c>
      <c r="BN28" s="6">
        <f>Site4!O47</f>
        <v>100847.40000000001</v>
      </c>
      <c r="BO28" s="6">
        <f>Site4!P47</f>
        <v>102528.19</v>
      </c>
      <c r="BQ28" s="6">
        <f>Site5!E47</f>
        <v>88983</v>
      </c>
      <c r="BR28" s="6">
        <f>Site5!F47</f>
        <v>90762.66</v>
      </c>
      <c r="BS28" s="6">
        <f>Site5!G47</f>
        <v>92542.32</v>
      </c>
      <c r="BT28" s="6">
        <f>Site5!H47</f>
        <v>94321.98</v>
      </c>
      <c r="BU28" s="6">
        <f>Site5!I47</f>
        <v>96101.64</v>
      </c>
      <c r="BV28" s="6">
        <f>Site5!J47</f>
        <v>97881.300000000017</v>
      </c>
      <c r="BW28" s="6">
        <f>Site5!K47</f>
        <v>99660.960000000021</v>
      </c>
      <c r="BX28" s="6">
        <f>Site5!L47</f>
        <v>101440.62000000001</v>
      </c>
      <c r="BY28" s="6">
        <f>Site5!M47</f>
        <v>103220.28</v>
      </c>
      <c r="BZ28" s="6">
        <f>Site5!N47</f>
        <v>104999.94</v>
      </c>
      <c r="CA28" s="6">
        <f>Site5!O47</f>
        <v>106779.6</v>
      </c>
      <c r="CB28" s="6">
        <f>Site5!P47</f>
        <v>108559.26000000001</v>
      </c>
      <c r="CD28" s="6">
        <f>Site6!E47</f>
        <v>0</v>
      </c>
      <c r="CE28" s="6">
        <f>Site6!F47</f>
        <v>0</v>
      </c>
      <c r="CF28" s="6">
        <f>Site6!G47</f>
        <v>87401.08</v>
      </c>
      <c r="CG28" s="6">
        <f>Site6!H47</f>
        <v>89081.87</v>
      </c>
      <c r="CH28" s="6">
        <f>Site6!I47</f>
        <v>90762.66</v>
      </c>
      <c r="CI28" s="6">
        <f>Site6!J47</f>
        <v>92443.450000000012</v>
      </c>
      <c r="CJ28" s="6">
        <f>Site6!K47</f>
        <v>94124.24000000002</v>
      </c>
      <c r="CK28" s="6">
        <f>Site6!L47</f>
        <v>95805.030000000013</v>
      </c>
      <c r="CL28" s="6">
        <f>Site6!M47</f>
        <v>97485.82</v>
      </c>
      <c r="CM28" s="6">
        <f>Site6!N47</f>
        <v>99166.61</v>
      </c>
      <c r="CN28" s="6">
        <f>Site6!O47</f>
        <v>100847.40000000001</v>
      </c>
      <c r="CO28" s="6">
        <f>Site6!P47</f>
        <v>102528.19</v>
      </c>
      <c r="CP28" s="2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s="6" customFormat="1" hidden="1" outlineLevel="2" x14ac:dyDescent="0.25">
      <c r="A29" s="18" t="s">
        <v>407</v>
      </c>
      <c r="B29" s="144" t="s">
        <v>570</v>
      </c>
      <c r="C29" s="2"/>
      <c r="D29" s="154">
        <f t="shared" si="10"/>
        <v>137379.24</v>
      </c>
      <c r="E29" s="154">
        <f t="shared" si="9"/>
        <v>233544.70799999998</v>
      </c>
      <c r="F29" s="154">
        <f t="shared" si="9"/>
        <v>238124.016</v>
      </c>
      <c r="G29" s="154">
        <f t="shared" si="9"/>
        <v>291243.98879999999</v>
      </c>
      <c r="H29" s="154">
        <f t="shared" si="9"/>
        <v>296739.15840000001</v>
      </c>
      <c r="I29" s="154">
        <f t="shared" si="9"/>
        <v>302234.32799999998</v>
      </c>
      <c r="J29" s="154">
        <f t="shared" si="9"/>
        <v>307729.49760000006</v>
      </c>
      <c r="K29" s="154">
        <f t="shared" si="9"/>
        <v>313224.66720000003</v>
      </c>
      <c r="L29" s="154">
        <f t="shared" si="9"/>
        <v>318719.83679999999</v>
      </c>
      <c r="M29" s="154">
        <f t="shared" si="9"/>
        <v>324215.00640000001</v>
      </c>
      <c r="N29" s="154">
        <f t="shared" si="9"/>
        <v>329710.17600000004</v>
      </c>
      <c r="O29" s="154">
        <f t="shared" si="9"/>
        <v>335205.3456</v>
      </c>
      <c r="P29" s="2"/>
      <c r="Q29" s="6">
        <f>Site1!E48</f>
        <v>45793.08</v>
      </c>
      <c r="R29" s="6">
        <f>Site1!F48</f>
        <v>46708.941599999998</v>
      </c>
      <c r="S29" s="6">
        <f>Site1!G48</f>
        <v>47624.803200000002</v>
      </c>
      <c r="T29" s="6">
        <f>Site1!H48</f>
        <v>48540.664799999999</v>
      </c>
      <c r="U29" s="6">
        <f>Site1!I48</f>
        <v>49456.526400000002</v>
      </c>
      <c r="V29" s="6">
        <f>Site1!J48</f>
        <v>50372.387999999999</v>
      </c>
      <c r="W29" s="6">
        <f>Site1!K48</f>
        <v>51288.24960000001</v>
      </c>
      <c r="X29" s="6">
        <f>Site1!L48</f>
        <v>52204.111200000007</v>
      </c>
      <c r="Y29" s="6">
        <f>Site1!M48</f>
        <v>53119.972800000003</v>
      </c>
      <c r="Z29" s="6">
        <f>Site1!N48</f>
        <v>54035.8344</v>
      </c>
      <c r="AA29" s="6">
        <f>Site1!O48</f>
        <v>54951.696000000004</v>
      </c>
      <c r="AB29" s="6">
        <f>Site1!P48</f>
        <v>55867.5576</v>
      </c>
      <c r="AC29" s="2"/>
      <c r="AD29" s="6">
        <f>Site2!E48</f>
        <v>45793.08</v>
      </c>
      <c r="AE29" s="6">
        <f>Site2!F48</f>
        <v>46708.941599999998</v>
      </c>
      <c r="AF29" s="6">
        <f>Site2!G48</f>
        <v>47624.803200000002</v>
      </c>
      <c r="AG29" s="6">
        <f>Site2!H48</f>
        <v>48540.664799999999</v>
      </c>
      <c r="AH29" s="6">
        <f>Site2!I48</f>
        <v>49456.526400000002</v>
      </c>
      <c r="AI29" s="6">
        <f>Site2!J48</f>
        <v>50372.387999999999</v>
      </c>
      <c r="AJ29" s="6">
        <f>Site2!K48</f>
        <v>51288.24960000001</v>
      </c>
      <c r="AK29" s="6">
        <f>Site2!L48</f>
        <v>52204.111200000007</v>
      </c>
      <c r="AL29" s="6">
        <f>Site2!M48</f>
        <v>53119.972800000003</v>
      </c>
      <c r="AM29" s="6">
        <f>Site2!N48</f>
        <v>54035.8344</v>
      </c>
      <c r="AN29" s="6">
        <f>Site2!O48</f>
        <v>54951.696000000004</v>
      </c>
      <c r="AO29" s="6">
        <f>Site2!P48</f>
        <v>55867.5576</v>
      </c>
      <c r="AQ29" s="6">
        <f>Site3!E48</f>
        <v>0</v>
      </c>
      <c r="AR29" s="6">
        <f>Site3!F48</f>
        <v>46708.941599999998</v>
      </c>
      <c r="AS29" s="6">
        <f>Site3!G48</f>
        <v>47624.803200000002</v>
      </c>
      <c r="AT29" s="6">
        <f>Site3!H48</f>
        <v>48540.664799999999</v>
      </c>
      <c r="AU29" s="6">
        <f>Site3!I48</f>
        <v>49456.526400000002</v>
      </c>
      <c r="AV29" s="6">
        <f>Site3!J48</f>
        <v>50372.387999999999</v>
      </c>
      <c r="AW29" s="6">
        <f>Site3!K48</f>
        <v>51288.24960000001</v>
      </c>
      <c r="AX29" s="6">
        <f>Site3!L48</f>
        <v>52204.111200000007</v>
      </c>
      <c r="AY29" s="6">
        <f>Site3!M48</f>
        <v>53119.972800000003</v>
      </c>
      <c r="AZ29" s="6">
        <f>Site3!N48</f>
        <v>54035.8344</v>
      </c>
      <c r="BA29" s="6">
        <f>Site3!O48</f>
        <v>54951.696000000004</v>
      </c>
      <c r="BB29" s="6">
        <f>Site3!P48</f>
        <v>55867.5576</v>
      </c>
      <c r="BD29" s="6">
        <f>Site4!E48</f>
        <v>0</v>
      </c>
      <c r="BE29" s="6">
        <f>Site4!F48</f>
        <v>46708.941599999998</v>
      </c>
      <c r="BF29" s="6">
        <f>Site4!G48</f>
        <v>47624.803200000002</v>
      </c>
      <c r="BG29" s="6">
        <f>Site4!H48</f>
        <v>48540.664799999999</v>
      </c>
      <c r="BH29" s="6">
        <f>Site4!I48</f>
        <v>49456.526400000002</v>
      </c>
      <c r="BI29" s="6">
        <f>Site4!J48</f>
        <v>50372.387999999999</v>
      </c>
      <c r="BJ29" s="6">
        <f>Site4!K48</f>
        <v>51288.24960000001</v>
      </c>
      <c r="BK29" s="6">
        <f>Site4!L48</f>
        <v>52204.111200000007</v>
      </c>
      <c r="BL29" s="6">
        <f>Site4!M48</f>
        <v>53119.972800000003</v>
      </c>
      <c r="BM29" s="6">
        <f>Site4!N48</f>
        <v>54035.8344</v>
      </c>
      <c r="BN29" s="6">
        <f>Site4!O48</f>
        <v>54951.696000000004</v>
      </c>
      <c r="BO29" s="6">
        <f>Site4!P48</f>
        <v>55867.5576</v>
      </c>
      <c r="BQ29" s="6">
        <f>Site5!E48</f>
        <v>45793.08</v>
      </c>
      <c r="BR29" s="6">
        <f>Site5!F48</f>
        <v>46708.941599999998</v>
      </c>
      <c r="BS29" s="6">
        <f>Site5!G48</f>
        <v>47624.803200000002</v>
      </c>
      <c r="BT29" s="6">
        <f>Site5!H48</f>
        <v>48540.664799999999</v>
      </c>
      <c r="BU29" s="6">
        <f>Site5!I48</f>
        <v>49456.526400000002</v>
      </c>
      <c r="BV29" s="6">
        <f>Site5!J48</f>
        <v>50372.387999999999</v>
      </c>
      <c r="BW29" s="6">
        <f>Site5!K48</f>
        <v>51288.24960000001</v>
      </c>
      <c r="BX29" s="6">
        <f>Site5!L48</f>
        <v>52204.111200000007</v>
      </c>
      <c r="BY29" s="6">
        <f>Site5!M48</f>
        <v>53119.972800000003</v>
      </c>
      <c r="BZ29" s="6">
        <f>Site5!N48</f>
        <v>54035.8344</v>
      </c>
      <c r="CA29" s="6">
        <f>Site5!O48</f>
        <v>54951.696000000004</v>
      </c>
      <c r="CB29" s="6">
        <f>Site5!P48</f>
        <v>55867.5576</v>
      </c>
      <c r="CD29" s="6">
        <f>Site6!E48</f>
        <v>0</v>
      </c>
      <c r="CE29" s="6">
        <f>Site6!F48</f>
        <v>0</v>
      </c>
      <c r="CF29" s="6">
        <f>Site6!G48</f>
        <v>0</v>
      </c>
      <c r="CG29" s="6">
        <f>Site6!H48</f>
        <v>48540.664799999999</v>
      </c>
      <c r="CH29" s="6">
        <f>Site6!I48</f>
        <v>49456.526400000002</v>
      </c>
      <c r="CI29" s="6">
        <f>Site6!J48</f>
        <v>50372.387999999999</v>
      </c>
      <c r="CJ29" s="6">
        <f>Site6!K48</f>
        <v>51288.24960000001</v>
      </c>
      <c r="CK29" s="6">
        <f>Site6!L48</f>
        <v>52204.111200000007</v>
      </c>
      <c r="CL29" s="6">
        <f>Site6!M48</f>
        <v>53119.972800000003</v>
      </c>
      <c r="CM29" s="6">
        <f>Site6!N48</f>
        <v>54035.8344</v>
      </c>
      <c r="CN29" s="6">
        <f>Site6!O48</f>
        <v>54951.696000000004</v>
      </c>
      <c r="CO29" s="6">
        <f>Site6!P48</f>
        <v>55867.5576</v>
      </c>
      <c r="CP29" s="2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s="6" customFormat="1" hidden="1" outlineLevel="2" x14ac:dyDescent="0.25">
      <c r="A30" s="18" t="s">
        <v>408</v>
      </c>
      <c r="B30" s="144" t="s">
        <v>570</v>
      </c>
      <c r="C30" s="2"/>
      <c r="D30" s="154">
        <f t="shared" si="10"/>
        <v>0</v>
      </c>
      <c r="E30" s="154">
        <f t="shared" si="9"/>
        <v>0</v>
      </c>
      <c r="F30" s="154">
        <f t="shared" si="9"/>
        <v>0</v>
      </c>
      <c r="G30" s="154">
        <f t="shared" si="9"/>
        <v>0</v>
      </c>
      <c r="H30" s="154">
        <f t="shared" si="9"/>
        <v>0</v>
      </c>
      <c r="I30" s="154">
        <f t="shared" si="9"/>
        <v>0</v>
      </c>
      <c r="J30" s="154">
        <f t="shared" si="9"/>
        <v>0</v>
      </c>
      <c r="K30" s="154">
        <f t="shared" si="9"/>
        <v>0</v>
      </c>
      <c r="L30" s="154">
        <f t="shared" si="9"/>
        <v>0</v>
      </c>
      <c r="M30" s="154">
        <f t="shared" si="9"/>
        <v>0</v>
      </c>
      <c r="N30" s="154">
        <f t="shared" si="9"/>
        <v>0</v>
      </c>
      <c r="O30" s="154">
        <f t="shared" si="9"/>
        <v>0</v>
      </c>
      <c r="P30" s="2"/>
      <c r="Q30" s="6">
        <f>Site1!E49</f>
        <v>0</v>
      </c>
      <c r="R30" s="6">
        <f>Site1!F49</f>
        <v>0</v>
      </c>
      <c r="S30" s="6">
        <f>Site1!G49</f>
        <v>0</v>
      </c>
      <c r="T30" s="6">
        <f>Site1!H49</f>
        <v>0</v>
      </c>
      <c r="U30" s="6">
        <f>Site1!I49</f>
        <v>0</v>
      </c>
      <c r="V30" s="6">
        <f>Site1!J49</f>
        <v>0</v>
      </c>
      <c r="W30" s="6">
        <f>Site1!K49</f>
        <v>0</v>
      </c>
      <c r="X30" s="6">
        <f>Site1!L49</f>
        <v>0</v>
      </c>
      <c r="Y30" s="6">
        <f>Site1!M49</f>
        <v>0</v>
      </c>
      <c r="Z30" s="6">
        <f>Site1!N49</f>
        <v>0</v>
      </c>
      <c r="AA30" s="6">
        <f>Site1!O49</f>
        <v>0</v>
      </c>
      <c r="AB30" s="6">
        <f>Site1!P49</f>
        <v>0</v>
      </c>
      <c r="AC30" s="2"/>
      <c r="AD30" s="6">
        <f>Site2!E49</f>
        <v>0</v>
      </c>
      <c r="AE30" s="6">
        <f>Site2!F49</f>
        <v>0</v>
      </c>
      <c r="AF30" s="6">
        <f>Site2!G49</f>
        <v>0</v>
      </c>
      <c r="AG30" s="6">
        <f>Site2!H49</f>
        <v>0</v>
      </c>
      <c r="AH30" s="6">
        <f>Site2!I49</f>
        <v>0</v>
      </c>
      <c r="AI30" s="6">
        <f>Site2!J49</f>
        <v>0</v>
      </c>
      <c r="AJ30" s="6">
        <f>Site2!K49</f>
        <v>0</v>
      </c>
      <c r="AK30" s="6">
        <f>Site2!L49</f>
        <v>0</v>
      </c>
      <c r="AL30" s="6">
        <f>Site2!M49</f>
        <v>0</v>
      </c>
      <c r="AM30" s="6">
        <f>Site2!N49</f>
        <v>0</v>
      </c>
      <c r="AN30" s="6">
        <f>Site2!O49</f>
        <v>0</v>
      </c>
      <c r="AO30" s="6">
        <f>Site2!P49</f>
        <v>0</v>
      </c>
      <c r="AQ30" s="6">
        <f>Site3!E49</f>
        <v>0</v>
      </c>
      <c r="AR30" s="6">
        <f>Site3!F49</f>
        <v>0</v>
      </c>
      <c r="AS30" s="6">
        <f>Site3!G49</f>
        <v>0</v>
      </c>
      <c r="AT30" s="6">
        <f>Site3!H49</f>
        <v>0</v>
      </c>
      <c r="AU30" s="6">
        <f>Site3!I49</f>
        <v>0</v>
      </c>
      <c r="AV30" s="6">
        <f>Site3!J49</f>
        <v>0</v>
      </c>
      <c r="AW30" s="6">
        <f>Site3!K49</f>
        <v>0</v>
      </c>
      <c r="AX30" s="6">
        <f>Site3!L49</f>
        <v>0</v>
      </c>
      <c r="AY30" s="6">
        <f>Site3!M49</f>
        <v>0</v>
      </c>
      <c r="AZ30" s="6">
        <f>Site3!N49</f>
        <v>0</v>
      </c>
      <c r="BA30" s="6">
        <f>Site3!O49</f>
        <v>0</v>
      </c>
      <c r="BB30" s="6">
        <f>Site3!P49</f>
        <v>0</v>
      </c>
      <c r="BD30" s="6">
        <f>Site4!E49</f>
        <v>0</v>
      </c>
      <c r="BE30" s="6">
        <f>Site4!F49</f>
        <v>0</v>
      </c>
      <c r="BF30" s="6">
        <f>Site4!G49</f>
        <v>0</v>
      </c>
      <c r="BG30" s="6">
        <f>Site4!H49</f>
        <v>0</v>
      </c>
      <c r="BH30" s="6">
        <f>Site4!I49</f>
        <v>0</v>
      </c>
      <c r="BI30" s="6">
        <f>Site4!J49</f>
        <v>0</v>
      </c>
      <c r="BJ30" s="6">
        <f>Site4!K49</f>
        <v>0</v>
      </c>
      <c r="BK30" s="6">
        <f>Site4!L49</f>
        <v>0</v>
      </c>
      <c r="BL30" s="6">
        <f>Site4!M49</f>
        <v>0</v>
      </c>
      <c r="BM30" s="6">
        <f>Site4!N49</f>
        <v>0</v>
      </c>
      <c r="BN30" s="6">
        <f>Site4!O49</f>
        <v>0</v>
      </c>
      <c r="BO30" s="6">
        <f>Site4!P49</f>
        <v>0</v>
      </c>
      <c r="BQ30" s="6">
        <f>Site5!E49</f>
        <v>0</v>
      </c>
      <c r="BR30" s="6">
        <f>Site5!F49</f>
        <v>0</v>
      </c>
      <c r="BS30" s="6">
        <f>Site5!G49</f>
        <v>0</v>
      </c>
      <c r="BT30" s="6">
        <f>Site5!H49</f>
        <v>0</v>
      </c>
      <c r="BU30" s="6">
        <f>Site5!I49</f>
        <v>0</v>
      </c>
      <c r="BV30" s="6">
        <f>Site5!J49</f>
        <v>0</v>
      </c>
      <c r="BW30" s="6">
        <f>Site5!K49</f>
        <v>0</v>
      </c>
      <c r="BX30" s="6">
        <f>Site5!L49</f>
        <v>0</v>
      </c>
      <c r="BY30" s="6">
        <f>Site5!M49</f>
        <v>0</v>
      </c>
      <c r="BZ30" s="6">
        <f>Site5!N49</f>
        <v>0</v>
      </c>
      <c r="CA30" s="6">
        <f>Site5!O49</f>
        <v>0</v>
      </c>
      <c r="CB30" s="6">
        <f>Site5!P49</f>
        <v>0</v>
      </c>
      <c r="CD30" s="6">
        <f>Site6!E49</f>
        <v>0</v>
      </c>
      <c r="CE30" s="6">
        <f>Site6!F49</f>
        <v>0</v>
      </c>
      <c r="CF30" s="6">
        <f>Site6!G49</f>
        <v>0</v>
      </c>
      <c r="CG30" s="6">
        <f>Site6!H49</f>
        <v>0</v>
      </c>
      <c r="CH30" s="6">
        <f>Site6!I49</f>
        <v>0</v>
      </c>
      <c r="CI30" s="6">
        <f>Site6!J49</f>
        <v>0</v>
      </c>
      <c r="CJ30" s="6">
        <f>Site6!K49</f>
        <v>0</v>
      </c>
      <c r="CK30" s="6">
        <f>Site6!L49</f>
        <v>0</v>
      </c>
      <c r="CL30" s="6">
        <f>Site6!M49</f>
        <v>0</v>
      </c>
      <c r="CM30" s="6">
        <f>Site6!N49</f>
        <v>0</v>
      </c>
      <c r="CN30" s="6">
        <f>Site6!O49</f>
        <v>0</v>
      </c>
      <c r="CO30" s="6">
        <f>Site6!P49</f>
        <v>0</v>
      </c>
      <c r="CP30" s="2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s="6" customFormat="1" hidden="1" outlineLevel="1" x14ac:dyDescent="0.25">
      <c r="A31" s="18">
        <v>6117</v>
      </c>
      <c r="B31" s="144" t="s">
        <v>571</v>
      </c>
      <c r="C31" s="2"/>
      <c r="D31" s="154">
        <f t="shared" si="10"/>
        <v>137379.24</v>
      </c>
      <c r="E31" s="154">
        <f t="shared" si="9"/>
        <v>233544.70799999998</v>
      </c>
      <c r="F31" s="154">
        <f t="shared" si="9"/>
        <v>238124.016</v>
      </c>
      <c r="G31" s="154">
        <f t="shared" si="9"/>
        <v>291243.98879999999</v>
      </c>
      <c r="H31" s="154">
        <f t="shared" si="9"/>
        <v>296739.15840000001</v>
      </c>
      <c r="I31" s="154">
        <f t="shared" si="9"/>
        <v>302234.32799999998</v>
      </c>
      <c r="J31" s="154">
        <f t="shared" si="9"/>
        <v>307729.49760000006</v>
      </c>
      <c r="K31" s="154">
        <f t="shared" si="9"/>
        <v>313224.66720000003</v>
      </c>
      <c r="L31" s="154">
        <f t="shared" si="9"/>
        <v>318719.83679999999</v>
      </c>
      <c r="M31" s="154">
        <f t="shared" si="9"/>
        <v>324215.00640000001</v>
      </c>
      <c r="N31" s="154">
        <f t="shared" si="9"/>
        <v>329710.17600000004</v>
      </c>
      <c r="O31" s="154">
        <f t="shared" si="9"/>
        <v>335205.3456</v>
      </c>
      <c r="P31" s="2"/>
      <c r="Q31" s="6">
        <f>Site1!E50</f>
        <v>45793.08</v>
      </c>
      <c r="R31" s="6">
        <f>Site1!F50</f>
        <v>46708.941599999998</v>
      </c>
      <c r="S31" s="6">
        <f>Site1!G50</f>
        <v>47624.803200000002</v>
      </c>
      <c r="T31" s="6">
        <f>Site1!H50</f>
        <v>48540.664799999999</v>
      </c>
      <c r="U31" s="6">
        <f>Site1!I50</f>
        <v>49456.526400000002</v>
      </c>
      <c r="V31" s="6">
        <f>Site1!J50</f>
        <v>50372.387999999999</v>
      </c>
      <c r="W31" s="6">
        <f>Site1!K50</f>
        <v>51288.24960000001</v>
      </c>
      <c r="X31" s="6">
        <f>Site1!L50</f>
        <v>52204.111200000007</v>
      </c>
      <c r="Y31" s="6">
        <f>Site1!M50</f>
        <v>53119.972800000003</v>
      </c>
      <c r="Z31" s="6">
        <f>Site1!N50</f>
        <v>54035.8344</v>
      </c>
      <c r="AA31" s="6">
        <f>Site1!O50</f>
        <v>54951.696000000004</v>
      </c>
      <c r="AB31" s="6">
        <f>Site1!P50</f>
        <v>55867.5576</v>
      </c>
      <c r="AC31" s="2"/>
      <c r="AD31" s="6">
        <f>Site2!E50</f>
        <v>45793.08</v>
      </c>
      <c r="AE31" s="6">
        <f>Site2!F50</f>
        <v>46708.941599999998</v>
      </c>
      <c r="AF31" s="6">
        <f>Site2!G50</f>
        <v>47624.803200000002</v>
      </c>
      <c r="AG31" s="6">
        <f>Site2!H50</f>
        <v>48540.664799999999</v>
      </c>
      <c r="AH31" s="6">
        <f>Site2!I50</f>
        <v>49456.526400000002</v>
      </c>
      <c r="AI31" s="6">
        <f>Site2!J50</f>
        <v>50372.387999999999</v>
      </c>
      <c r="AJ31" s="6">
        <f>Site2!K50</f>
        <v>51288.24960000001</v>
      </c>
      <c r="AK31" s="6">
        <f>Site2!L50</f>
        <v>52204.111200000007</v>
      </c>
      <c r="AL31" s="6">
        <f>Site2!M50</f>
        <v>53119.972800000003</v>
      </c>
      <c r="AM31" s="6">
        <f>Site2!N50</f>
        <v>54035.8344</v>
      </c>
      <c r="AN31" s="6">
        <f>Site2!O50</f>
        <v>54951.696000000004</v>
      </c>
      <c r="AO31" s="6">
        <f>Site2!P50</f>
        <v>55867.5576</v>
      </c>
      <c r="AQ31" s="6">
        <f>Site3!E50</f>
        <v>0</v>
      </c>
      <c r="AR31" s="6">
        <f>Site3!F50</f>
        <v>46708.941599999998</v>
      </c>
      <c r="AS31" s="6">
        <f>Site3!G50</f>
        <v>47624.803200000002</v>
      </c>
      <c r="AT31" s="6">
        <f>Site3!H50</f>
        <v>48540.664799999999</v>
      </c>
      <c r="AU31" s="6">
        <f>Site3!I50</f>
        <v>49456.526400000002</v>
      </c>
      <c r="AV31" s="6">
        <f>Site3!J50</f>
        <v>50372.387999999999</v>
      </c>
      <c r="AW31" s="6">
        <f>Site3!K50</f>
        <v>51288.24960000001</v>
      </c>
      <c r="AX31" s="6">
        <f>Site3!L50</f>
        <v>52204.111200000007</v>
      </c>
      <c r="AY31" s="6">
        <f>Site3!M50</f>
        <v>53119.972800000003</v>
      </c>
      <c r="AZ31" s="6">
        <f>Site3!N50</f>
        <v>54035.8344</v>
      </c>
      <c r="BA31" s="6">
        <f>Site3!O50</f>
        <v>54951.696000000004</v>
      </c>
      <c r="BB31" s="6">
        <f>Site3!P50</f>
        <v>55867.5576</v>
      </c>
      <c r="BD31" s="6">
        <f>Site4!E50</f>
        <v>0</v>
      </c>
      <c r="BE31" s="6">
        <f>Site4!F50</f>
        <v>46708.941599999998</v>
      </c>
      <c r="BF31" s="6">
        <f>Site4!G50</f>
        <v>47624.803200000002</v>
      </c>
      <c r="BG31" s="6">
        <f>Site4!H50</f>
        <v>48540.664799999999</v>
      </c>
      <c r="BH31" s="6">
        <f>Site4!I50</f>
        <v>49456.526400000002</v>
      </c>
      <c r="BI31" s="6">
        <f>Site4!J50</f>
        <v>50372.387999999999</v>
      </c>
      <c r="BJ31" s="6">
        <f>Site4!K50</f>
        <v>51288.24960000001</v>
      </c>
      <c r="BK31" s="6">
        <f>Site4!L50</f>
        <v>52204.111200000007</v>
      </c>
      <c r="BL31" s="6">
        <f>Site4!M50</f>
        <v>53119.972800000003</v>
      </c>
      <c r="BM31" s="6">
        <f>Site4!N50</f>
        <v>54035.8344</v>
      </c>
      <c r="BN31" s="6">
        <f>Site4!O50</f>
        <v>54951.696000000004</v>
      </c>
      <c r="BO31" s="6">
        <f>Site4!P50</f>
        <v>55867.5576</v>
      </c>
      <c r="BQ31" s="6">
        <f>Site5!E50</f>
        <v>45793.08</v>
      </c>
      <c r="BR31" s="6">
        <f>Site5!F50</f>
        <v>46708.941599999998</v>
      </c>
      <c r="BS31" s="6">
        <f>Site5!G50</f>
        <v>47624.803200000002</v>
      </c>
      <c r="BT31" s="6">
        <f>Site5!H50</f>
        <v>48540.664799999999</v>
      </c>
      <c r="BU31" s="6">
        <f>Site5!I50</f>
        <v>49456.526400000002</v>
      </c>
      <c r="BV31" s="6">
        <f>Site5!J50</f>
        <v>50372.387999999999</v>
      </c>
      <c r="BW31" s="6">
        <f>Site5!K50</f>
        <v>51288.24960000001</v>
      </c>
      <c r="BX31" s="6">
        <f>Site5!L50</f>
        <v>52204.111200000007</v>
      </c>
      <c r="BY31" s="6">
        <f>Site5!M50</f>
        <v>53119.972800000003</v>
      </c>
      <c r="BZ31" s="6">
        <f>Site5!N50</f>
        <v>54035.8344</v>
      </c>
      <c r="CA31" s="6">
        <f>Site5!O50</f>
        <v>54951.696000000004</v>
      </c>
      <c r="CB31" s="6">
        <f>Site5!P50</f>
        <v>55867.5576</v>
      </c>
      <c r="CD31" s="6">
        <f>Site6!E50</f>
        <v>0</v>
      </c>
      <c r="CE31" s="6">
        <f>Site6!F50</f>
        <v>0</v>
      </c>
      <c r="CF31" s="6">
        <f>Site6!G50</f>
        <v>0</v>
      </c>
      <c r="CG31" s="6">
        <f>Site6!H50</f>
        <v>48540.664799999999</v>
      </c>
      <c r="CH31" s="6">
        <f>Site6!I50</f>
        <v>49456.526400000002</v>
      </c>
      <c r="CI31" s="6">
        <f>Site6!J50</f>
        <v>50372.387999999999</v>
      </c>
      <c r="CJ31" s="6">
        <f>Site6!K50</f>
        <v>51288.24960000001</v>
      </c>
      <c r="CK31" s="6">
        <f>Site6!L50</f>
        <v>52204.111200000007</v>
      </c>
      <c r="CL31" s="6">
        <f>Site6!M50</f>
        <v>53119.972800000003</v>
      </c>
      <c r="CM31" s="6">
        <f>Site6!N50</f>
        <v>54035.8344</v>
      </c>
      <c r="CN31" s="6">
        <f>Site6!O50</f>
        <v>54951.696000000004</v>
      </c>
      <c r="CO31" s="6">
        <f>Site6!P50</f>
        <v>55867.5576</v>
      </c>
      <c r="CP31" s="2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6" customFormat="1" hidden="1" outlineLevel="1" x14ac:dyDescent="0.25">
      <c r="A32" s="18">
        <v>6127</v>
      </c>
      <c r="B32" s="144" t="s">
        <v>373</v>
      </c>
      <c r="C32" s="2"/>
      <c r="D32" s="154">
        <f t="shared" si="10"/>
        <v>96340</v>
      </c>
      <c r="E32" s="154">
        <f t="shared" si="9"/>
        <v>128866.8</v>
      </c>
      <c r="F32" s="154">
        <f t="shared" si="9"/>
        <v>150113.60000000001</v>
      </c>
      <c r="G32" s="154">
        <f t="shared" si="9"/>
        <v>165720.4</v>
      </c>
      <c r="H32" s="154">
        <f t="shared" si="9"/>
        <v>176947.20000000001</v>
      </c>
      <c r="I32" s="154">
        <f t="shared" si="9"/>
        <v>180224</v>
      </c>
      <c r="J32" s="154">
        <f t="shared" si="9"/>
        <v>183500.80000000002</v>
      </c>
      <c r="K32" s="154">
        <f t="shared" si="9"/>
        <v>186777.60000000003</v>
      </c>
      <c r="L32" s="154">
        <f t="shared" si="9"/>
        <v>190054.39999999999</v>
      </c>
      <c r="M32" s="154">
        <f t="shared" si="9"/>
        <v>193331.20000000001</v>
      </c>
      <c r="N32" s="154">
        <f t="shared" si="9"/>
        <v>196608</v>
      </c>
      <c r="O32" s="154">
        <f t="shared" si="9"/>
        <v>199884.79999999999</v>
      </c>
      <c r="P32" s="2"/>
      <c r="Q32" s="6">
        <f>Site1!E51</f>
        <v>53000</v>
      </c>
      <c r="R32" s="6">
        <f>Site1!F51</f>
        <v>54060</v>
      </c>
      <c r="S32" s="6">
        <f>Site1!G51</f>
        <v>55120</v>
      </c>
      <c r="T32" s="6">
        <f>Site1!H51</f>
        <v>56180</v>
      </c>
      <c r="U32" s="6">
        <f>Site1!I51</f>
        <v>57240</v>
      </c>
      <c r="V32" s="6">
        <f>Site1!J51</f>
        <v>58300</v>
      </c>
      <c r="W32" s="6">
        <f>Site1!K51</f>
        <v>59360</v>
      </c>
      <c r="X32" s="6">
        <f>Site1!L51</f>
        <v>60420.000000000015</v>
      </c>
      <c r="Y32" s="6">
        <f>Site1!M51</f>
        <v>61480</v>
      </c>
      <c r="Z32" s="6">
        <f>Site1!N51</f>
        <v>62540</v>
      </c>
      <c r="AA32" s="6">
        <f>Site1!O51</f>
        <v>63600</v>
      </c>
      <c r="AB32" s="6">
        <f>Site1!P51</f>
        <v>64660</v>
      </c>
      <c r="AC32" s="2"/>
      <c r="AD32" s="6">
        <f>Site2!E51</f>
        <v>24000</v>
      </c>
      <c r="AE32" s="6">
        <f>Site2!F51</f>
        <v>30600</v>
      </c>
      <c r="AF32" s="6">
        <f>Site2!G51</f>
        <v>31200</v>
      </c>
      <c r="AG32" s="6">
        <f>Site2!H51</f>
        <v>31800</v>
      </c>
      <c r="AH32" s="6">
        <f>Site2!I51</f>
        <v>32400</v>
      </c>
      <c r="AI32" s="6">
        <f>Site2!J51</f>
        <v>33000.000000000007</v>
      </c>
      <c r="AJ32" s="6">
        <f>Site2!K51</f>
        <v>33600.000000000007</v>
      </c>
      <c r="AK32" s="6">
        <f>Site2!L51</f>
        <v>34200.000000000007</v>
      </c>
      <c r="AL32" s="6">
        <f>Site2!M51</f>
        <v>34799.999999999993</v>
      </c>
      <c r="AM32" s="6">
        <f>Site2!N51</f>
        <v>35400</v>
      </c>
      <c r="AN32" s="6">
        <f>Site2!O51</f>
        <v>36000</v>
      </c>
      <c r="AO32" s="6">
        <f>Site2!P51</f>
        <v>36600</v>
      </c>
      <c r="AQ32" s="6">
        <f>Site3!E51</f>
        <v>8840</v>
      </c>
      <c r="AR32" s="6">
        <f>Site3!F51</f>
        <v>9016.7999999999993</v>
      </c>
      <c r="AS32" s="6">
        <f>Site3!G51</f>
        <v>9193.6</v>
      </c>
      <c r="AT32" s="6">
        <f>Site3!H51</f>
        <v>9370.4</v>
      </c>
      <c r="AU32" s="6">
        <f>Site3!I51</f>
        <v>9547.2000000000007</v>
      </c>
      <c r="AV32" s="6">
        <f>Site3!J51</f>
        <v>9724</v>
      </c>
      <c r="AW32" s="6">
        <f>Site3!K51</f>
        <v>9900.8000000000011</v>
      </c>
      <c r="AX32" s="6">
        <f>Site3!L51</f>
        <v>10077.6</v>
      </c>
      <c r="AY32" s="6">
        <f>Site3!M51</f>
        <v>10254.4</v>
      </c>
      <c r="AZ32" s="6">
        <f>Site3!N51</f>
        <v>10431.199999999999</v>
      </c>
      <c r="BA32" s="6">
        <f>Site3!O51</f>
        <v>10608</v>
      </c>
      <c r="BB32" s="6">
        <f>Site3!P51</f>
        <v>10784.8</v>
      </c>
      <c r="BD32" s="6">
        <f>Site4!E51</f>
        <v>4500</v>
      </c>
      <c r="BE32" s="6">
        <f>Site4!F51</f>
        <v>16830</v>
      </c>
      <c r="BF32" s="6">
        <f>Site4!G51</f>
        <v>24960</v>
      </c>
      <c r="BG32" s="6">
        <f>Site4!H51</f>
        <v>25440</v>
      </c>
      <c r="BH32" s="6">
        <f>Site4!I51</f>
        <v>25920</v>
      </c>
      <c r="BI32" s="6">
        <f>Site4!J51</f>
        <v>26400.000000000004</v>
      </c>
      <c r="BJ32" s="6">
        <f>Site4!K51</f>
        <v>26880.000000000004</v>
      </c>
      <c r="BK32" s="6">
        <f>Site4!L51</f>
        <v>27360.000000000004</v>
      </c>
      <c r="BL32" s="6">
        <f>Site4!M51</f>
        <v>27839.999999999996</v>
      </c>
      <c r="BM32" s="6">
        <f>Site4!N51</f>
        <v>28320</v>
      </c>
      <c r="BN32" s="6">
        <f>Site4!O51</f>
        <v>28800</v>
      </c>
      <c r="BO32" s="6">
        <f>Site4!P51</f>
        <v>29280</v>
      </c>
      <c r="BQ32" s="6">
        <f>Site5!E51</f>
        <v>6000</v>
      </c>
      <c r="BR32" s="6">
        <f>Site5!F51</f>
        <v>18360</v>
      </c>
      <c r="BS32" s="6">
        <f>Site5!G51</f>
        <v>24960</v>
      </c>
      <c r="BT32" s="6">
        <f>Site5!H51</f>
        <v>25440</v>
      </c>
      <c r="BU32" s="6">
        <f>Site5!I51</f>
        <v>25920</v>
      </c>
      <c r="BV32" s="6">
        <f>Site5!J51</f>
        <v>26400.000000000004</v>
      </c>
      <c r="BW32" s="6">
        <f>Site5!K51</f>
        <v>26880.000000000004</v>
      </c>
      <c r="BX32" s="6">
        <f>Site5!L51</f>
        <v>27360.000000000004</v>
      </c>
      <c r="BY32" s="6">
        <f>Site5!M51</f>
        <v>27839.999999999996</v>
      </c>
      <c r="BZ32" s="6">
        <f>Site5!N51</f>
        <v>28320</v>
      </c>
      <c r="CA32" s="6">
        <f>Site5!O51</f>
        <v>28800</v>
      </c>
      <c r="CB32" s="6">
        <f>Site5!P51</f>
        <v>29280</v>
      </c>
      <c r="CD32" s="6">
        <f>Site6!E51</f>
        <v>0</v>
      </c>
      <c r="CE32" s="6">
        <f>Site6!F51</f>
        <v>0</v>
      </c>
      <c r="CF32" s="6">
        <f>Site6!G51</f>
        <v>4680</v>
      </c>
      <c r="CG32" s="6">
        <f>Site6!H51</f>
        <v>17490</v>
      </c>
      <c r="CH32" s="6">
        <f>Site6!I51</f>
        <v>25920</v>
      </c>
      <c r="CI32" s="6">
        <f>Site6!J51</f>
        <v>26400.000000000004</v>
      </c>
      <c r="CJ32" s="6">
        <f>Site6!K51</f>
        <v>26880.000000000004</v>
      </c>
      <c r="CK32" s="6">
        <f>Site6!L51</f>
        <v>27360.000000000004</v>
      </c>
      <c r="CL32" s="6">
        <f>Site6!M51</f>
        <v>27839.999999999996</v>
      </c>
      <c r="CM32" s="6">
        <f>Site6!N51</f>
        <v>28320</v>
      </c>
      <c r="CN32" s="6">
        <f>Site6!O51</f>
        <v>28800</v>
      </c>
      <c r="CO32" s="6">
        <f>Site6!P51</f>
        <v>29280</v>
      </c>
      <c r="CP32" s="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s="6" customFormat="1" hidden="1" outlineLevel="1" x14ac:dyDescent="0.25">
      <c r="A33" s="18">
        <v>6151</v>
      </c>
      <c r="B33" s="144" t="s">
        <v>572</v>
      </c>
      <c r="C33" s="2"/>
      <c r="D33" s="154">
        <f t="shared" si="10"/>
        <v>6000</v>
      </c>
      <c r="E33" s="154">
        <f t="shared" si="9"/>
        <v>6000</v>
      </c>
      <c r="F33" s="154">
        <f t="shared" si="9"/>
        <v>8500</v>
      </c>
      <c r="G33" s="154">
        <f t="shared" si="9"/>
        <v>8500</v>
      </c>
      <c r="H33" s="154">
        <f t="shared" si="9"/>
        <v>8500</v>
      </c>
      <c r="I33" s="154">
        <f t="shared" si="9"/>
        <v>8500</v>
      </c>
      <c r="J33" s="154">
        <f t="shared" si="9"/>
        <v>8500</v>
      </c>
      <c r="K33" s="154">
        <f t="shared" si="9"/>
        <v>10000</v>
      </c>
      <c r="L33" s="154">
        <f t="shared" si="9"/>
        <v>11500</v>
      </c>
      <c r="M33" s="154">
        <f t="shared" si="9"/>
        <v>14000</v>
      </c>
      <c r="N33" s="154">
        <f t="shared" si="9"/>
        <v>14000</v>
      </c>
      <c r="O33" s="154">
        <f t="shared" si="9"/>
        <v>14000</v>
      </c>
      <c r="P33" s="2"/>
      <c r="Q33" s="6">
        <f>Site1!E52</f>
        <v>3000</v>
      </c>
      <c r="R33" s="6">
        <f>Site1!F52</f>
        <v>3000</v>
      </c>
      <c r="S33" s="6">
        <f>Site1!G52</f>
        <v>3000</v>
      </c>
      <c r="T33" s="6">
        <f>Site1!H52</f>
        <v>3000</v>
      </c>
      <c r="U33" s="6">
        <f>Site1!I52</f>
        <v>3000</v>
      </c>
      <c r="V33" s="6">
        <f>Site1!J52</f>
        <v>3000</v>
      </c>
      <c r="W33" s="6">
        <f>Site1!K52</f>
        <v>3000</v>
      </c>
      <c r="X33" s="6">
        <f>Site1!L52</f>
        <v>3000</v>
      </c>
      <c r="Y33" s="6">
        <f>Site1!M52</f>
        <v>3000</v>
      </c>
      <c r="Z33" s="6">
        <f>Site1!N52</f>
        <v>3000</v>
      </c>
      <c r="AA33" s="6">
        <f>Site1!O52</f>
        <v>3000</v>
      </c>
      <c r="AB33" s="6">
        <f>Site1!P52</f>
        <v>3000</v>
      </c>
      <c r="AC33" s="2"/>
      <c r="AD33" s="6">
        <f>Site2!E52</f>
        <v>3000</v>
      </c>
      <c r="AE33" s="6">
        <f>Site2!F52</f>
        <v>3000</v>
      </c>
      <c r="AF33" s="6">
        <f>Site2!G52</f>
        <v>3000</v>
      </c>
      <c r="AG33" s="6">
        <f>Site2!H52</f>
        <v>3000</v>
      </c>
      <c r="AH33" s="6">
        <f>Site2!I52</f>
        <v>3000</v>
      </c>
      <c r="AI33" s="6">
        <f>Site2!J52</f>
        <v>3000</v>
      </c>
      <c r="AJ33" s="6">
        <f>Site2!K52</f>
        <v>3000</v>
      </c>
      <c r="AK33" s="6">
        <f>Site2!L52</f>
        <v>3000</v>
      </c>
      <c r="AL33" s="6">
        <f>Site2!M52</f>
        <v>3000</v>
      </c>
      <c r="AM33" s="6">
        <f>Site2!N52</f>
        <v>3000</v>
      </c>
      <c r="AN33" s="6">
        <f>Site2!O52</f>
        <v>3000</v>
      </c>
      <c r="AO33" s="6">
        <f>Site2!P52</f>
        <v>3000</v>
      </c>
      <c r="AQ33" s="6">
        <f>Site3!E52</f>
        <v>0</v>
      </c>
      <c r="AR33" s="6">
        <f>Site3!F52</f>
        <v>0</v>
      </c>
      <c r="AS33" s="6">
        <f>Site3!G52</f>
        <v>0</v>
      </c>
      <c r="AT33" s="6">
        <f>Site3!H52</f>
        <v>0</v>
      </c>
      <c r="AU33" s="6">
        <f>Site3!I52</f>
        <v>0</v>
      </c>
      <c r="AV33" s="6">
        <f>Site3!J52</f>
        <v>0</v>
      </c>
      <c r="AW33" s="6">
        <f>Site3!K52</f>
        <v>0</v>
      </c>
      <c r="AX33" s="6">
        <f>Site3!L52</f>
        <v>0</v>
      </c>
      <c r="AY33" s="6">
        <f>Site3!M52</f>
        <v>1500</v>
      </c>
      <c r="AZ33" s="6">
        <f>Site3!N52</f>
        <v>1500</v>
      </c>
      <c r="BA33" s="6">
        <f>Site3!O52</f>
        <v>1500</v>
      </c>
      <c r="BB33" s="6">
        <f>Site3!P52</f>
        <v>1500</v>
      </c>
      <c r="BD33" s="6">
        <f>Site4!E52</f>
        <v>0</v>
      </c>
      <c r="BE33" s="6">
        <f>Site4!F52</f>
        <v>0</v>
      </c>
      <c r="BF33" s="6">
        <f>Site4!G52</f>
        <v>0</v>
      </c>
      <c r="BG33" s="6">
        <f>Site4!H52</f>
        <v>0</v>
      </c>
      <c r="BH33" s="6">
        <f>Site4!I52</f>
        <v>0</v>
      </c>
      <c r="BI33" s="6">
        <f>Site4!J52</f>
        <v>0</v>
      </c>
      <c r="BJ33" s="6">
        <f>Site4!K52</f>
        <v>0</v>
      </c>
      <c r="BK33" s="6">
        <f>Site4!L52</f>
        <v>1500</v>
      </c>
      <c r="BL33" s="6">
        <f>Site4!M52</f>
        <v>1500</v>
      </c>
      <c r="BM33" s="6">
        <f>Site4!N52</f>
        <v>1500</v>
      </c>
      <c r="BN33" s="6">
        <f>Site4!O52</f>
        <v>1500</v>
      </c>
      <c r="BO33" s="6">
        <f>Site4!P52</f>
        <v>1500</v>
      </c>
      <c r="BQ33" s="6">
        <f>Site5!E52</f>
        <v>0</v>
      </c>
      <c r="BR33" s="6">
        <f>Site5!F52</f>
        <v>0</v>
      </c>
      <c r="BS33" s="6">
        <f>Site5!G52</f>
        <v>2500</v>
      </c>
      <c r="BT33" s="6">
        <f>Site5!H52</f>
        <v>2500</v>
      </c>
      <c r="BU33" s="6">
        <f>Site5!I52</f>
        <v>2500</v>
      </c>
      <c r="BV33" s="6">
        <f>Site5!J52</f>
        <v>2500</v>
      </c>
      <c r="BW33" s="6">
        <f>Site5!K52</f>
        <v>2500</v>
      </c>
      <c r="BX33" s="6">
        <f>Site5!L52</f>
        <v>2500</v>
      </c>
      <c r="BY33" s="6">
        <f>Site5!M52</f>
        <v>2500</v>
      </c>
      <c r="BZ33" s="6">
        <f>Site5!N52</f>
        <v>5000</v>
      </c>
      <c r="CA33" s="6">
        <f>Site5!O52</f>
        <v>5000</v>
      </c>
      <c r="CB33" s="6">
        <f>Site5!P52</f>
        <v>5000</v>
      </c>
      <c r="CD33" s="6">
        <f>Site6!E52</f>
        <v>0</v>
      </c>
      <c r="CE33" s="6">
        <f>Site6!F52</f>
        <v>0</v>
      </c>
      <c r="CF33" s="6">
        <f>Site6!G52</f>
        <v>0</v>
      </c>
      <c r="CG33" s="6">
        <f>Site6!H52</f>
        <v>0</v>
      </c>
      <c r="CH33" s="6">
        <f>Site6!I52</f>
        <v>0</v>
      </c>
      <c r="CI33" s="6">
        <f>Site6!J52</f>
        <v>0</v>
      </c>
      <c r="CJ33" s="6">
        <f>Site6!K52</f>
        <v>0</v>
      </c>
      <c r="CK33" s="6">
        <f>Site6!L52</f>
        <v>0</v>
      </c>
      <c r="CL33" s="6">
        <f>Site6!M52</f>
        <v>0</v>
      </c>
      <c r="CM33" s="6">
        <f>Site6!N52</f>
        <v>0</v>
      </c>
      <c r="CN33" s="6">
        <f>Site6!O52</f>
        <v>0</v>
      </c>
      <c r="CO33" s="6">
        <f>Site6!P52</f>
        <v>0</v>
      </c>
      <c r="CP33" s="2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s="6" customFormat="1" hidden="1" outlineLevel="1" x14ac:dyDescent="0.25">
      <c r="A34" s="18">
        <v>6154</v>
      </c>
      <c r="B34" s="144" t="s">
        <v>573</v>
      </c>
      <c r="C34" s="2"/>
      <c r="D34" s="154">
        <f t="shared" si="10"/>
        <v>25000</v>
      </c>
      <c r="E34" s="154">
        <f t="shared" si="9"/>
        <v>25000</v>
      </c>
      <c r="F34" s="154">
        <f t="shared" si="9"/>
        <v>28000</v>
      </c>
      <c r="G34" s="154">
        <f t="shared" si="9"/>
        <v>28000</v>
      </c>
      <c r="H34" s="154">
        <f t="shared" si="9"/>
        <v>28000</v>
      </c>
      <c r="I34" s="154">
        <f t="shared" si="9"/>
        <v>28000</v>
      </c>
      <c r="J34" s="154">
        <f t="shared" si="9"/>
        <v>28000</v>
      </c>
      <c r="K34" s="154">
        <f t="shared" si="9"/>
        <v>28000</v>
      </c>
      <c r="L34" s="154">
        <f t="shared" si="9"/>
        <v>28000</v>
      </c>
      <c r="M34" s="154">
        <f t="shared" si="9"/>
        <v>28000</v>
      </c>
      <c r="N34" s="154">
        <f t="shared" si="9"/>
        <v>28000</v>
      </c>
      <c r="O34" s="154">
        <f t="shared" si="9"/>
        <v>28000</v>
      </c>
      <c r="P34" s="2"/>
      <c r="Q34" s="6">
        <f>Site1!E53</f>
        <v>6000</v>
      </c>
      <c r="R34" s="6">
        <f>Site1!F53</f>
        <v>6000</v>
      </c>
      <c r="S34" s="6">
        <f>Site1!G53</f>
        <v>6000</v>
      </c>
      <c r="T34" s="6">
        <f>Site1!H53</f>
        <v>6000</v>
      </c>
      <c r="U34" s="6">
        <f>Site1!I53</f>
        <v>6000</v>
      </c>
      <c r="V34" s="6">
        <f>Site1!J53</f>
        <v>6000</v>
      </c>
      <c r="W34" s="6">
        <f>Site1!K53</f>
        <v>6000</v>
      </c>
      <c r="X34" s="6">
        <f>Site1!L53</f>
        <v>6000</v>
      </c>
      <c r="Y34" s="6">
        <f>Site1!M53</f>
        <v>6000</v>
      </c>
      <c r="Z34" s="6">
        <f>Site1!N53</f>
        <v>6000</v>
      </c>
      <c r="AA34" s="6">
        <f>Site1!O53</f>
        <v>6000</v>
      </c>
      <c r="AB34" s="6">
        <f>Site1!P53</f>
        <v>6000</v>
      </c>
      <c r="AC34" s="2"/>
      <c r="AD34" s="6">
        <f>Site2!E53</f>
        <v>5500</v>
      </c>
      <c r="AE34" s="6">
        <f>Site2!F53</f>
        <v>5500</v>
      </c>
      <c r="AF34" s="6">
        <f>Site2!G53</f>
        <v>5500</v>
      </c>
      <c r="AG34" s="6">
        <f>Site2!H53</f>
        <v>5500</v>
      </c>
      <c r="AH34" s="6">
        <f>Site2!I53</f>
        <v>5500</v>
      </c>
      <c r="AI34" s="6">
        <f>Site2!J53</f>
        <v>5500</v>
      </c>
      <c r="AJ34" s="6">
        <f>Site2!K53</f>
        <v>5500</v>
      </c>
      <c r="AK34" s="6">
        <f>Site2!L53</f>
        <v>5500</v>
      </c>
      <c r="AL34" s="6">
        <f>Site2!M53</f>
        <v>5500</v>
      </c>
      <c r="AM34" s="6">
        <f>Site2!N53</f>
        <v>5500</v>
      </c>
      <c r="AN34" s="6">
        <f>Site2!O53</f>
        <v>5500</v>
      </c>
      <c r="AO34" s="6">
        <f>Site2!P53</f>
        <v>5500</v>
      </c>
      <c r="AQ34" s="6">
        <f>Site3!E53</f>
        <v>3000</v>
      </c>
      <c r="AR34" s="6">
        <f>Site3!F53</f>
        <v>3000</v>
      </c>
      <c r="AS34" s="6">
        <f>Site3!G53</f>
        <v>3000</v>
      </c>
      <c r="AT34" s="6">
        <f>Site3!H53</f>
        <v>3000</v>
      </c>
      <c r="AU34" s="6">
        <f>Site3!I53</f>
        <v>3000</v>
      </c>
      <c r="AV34" s="6">
        <f>Site3!J53</f>
        <v>3000</v>
      </c>
      <c r="AW34" s="6">
        <f>Site3!K53</f>
        <v>3000</v>
      </c>
      <c r="AX34" s="6">
        <f>Site3!L53</f>
        <v>3000</v>
      </c>
      <c r="AY34" s="6">
        <f>Site3!M53</f>
        <v>3000</v>
      </c>
      <c r="AZ34" s="6">
        <f>Site3!N53</f>
        <v>3000</v>
      </c>
      <c r="BA34" s="6">
        <f>Site3!O53</f>
        <v>3000</v>
      </c>
      <c r="BB34" s="6">
        <f>Site3!P53</f>
        <v>3000</v>
      </c>
      <c r="BD34" s="6">
        <f>Site4!E53</f>
        <v>3000</v>
      </c>
      <c r="BE34" s="6">
        <f>Site4!F53</f>
        <v>3000</v>
      </c>
      <c r="BF34" s="6">
        <f>Site4!G53</f>
        <v>3000</v>
      </c>
      <c r="BG34" s="6">
        <f>Site4!H53</f>
        <v>3000</v>
      </c>
      <c r="BH34" s="6">
        <f>Site4!I53</f>
        <v>3000</v>
      </c>
      <c r="BI34" s="6">
        <f>Site4!J53</f>
        <v>3000</v>
      </c>
      <c r="BJ34" s="6">
        <f>Site4!K53</f>
        <v>3000</v>
      </c>
      <c r="BK34" s="6">
        <f>Site4!L53</f>
        <v>3000</v>
      </c>
      <c r="BL34" s="6">
        <f>Site4!M53</f>
        <v>3000</v>
      </c>
      <c r="BM34" s="6">
        <f>Site4!N53</f>
        <v>3000</v>
      </c>
      <c r="BN34" s="6">
        <f>Site4!O53</f>
        <v>3000</v>
      </c>
      <c r="BO34" s="6">
        <f>Site4!P53</f>
        <v>3000</v>
      </c>
      <c r="BQ34" s="6">
        <f>Site5!E53</f>
        <v>7500</v>
      </c>
      <c r="BR34" s="6">
        <f>Site5!F53</f>
        <v>7500</v>
      </c>
      <c r="BS34" s="6">
        <f>Site5!G53</f>
        <v>7500</v>
      </c>
      <c r="BT34" s="6">
        <f>Site5!H53</f>
        <v>7500</v>
      </c>
      <c r="BU34" s="6">
        <f>Site5!I53</f>
        <v>7500</v>
      </c>
      <c r="BV34" s="6">
        <f>Site5!J53</f>
        <v>7500</v>
      </c>
      <c r="BW34" s="6">
        <f>Site5!K53</f>
        <v>7500</v>
      </c>
      <c r="BX34" s="6">
        <f>Site5!L53</f>
        <v>7500</v>
      </c>
      <c r="BY34" s="6">
        <f>Site5!M53</f>
        <v>7500</v>
      </c>
      <c r="BZ34" s="6">
        <f>Site5!N53</f>
        <v>7500</v>
      </c>
      <c r="CA34" s="6">
        <f>Site5!O53</f>
        <v>7500</v>
      </c>
      <c r="CB34" s="6">
        <f>Site5!P53</f>
        <v>7500</v>
      </c>
      <c r="CD34" s="6">
        <f>Site6!E53</f>
        <v>0</v>
      </c>
      <c r="CE34" s="6">
        <f>Site6!F53</f>
        <v>0</v>
      </c>
      <c r="CF34" s="6">
        <f>Site6!G53</f>
        <v>3000</v>
      </c>
      <c r="CG34" s="6">
        <f>Site6!H53</f>
        <v>3000</v>
      </c>
      <c r="CH34" s="6">
        <f>Site6!I53</f>
        <v>3000</v>
      </c>
      <c r="CI34" s="6">
        <f>Site6!J53</f>
        <v>3000</v>
      </c>
      <c r="CJ34" s="6">
        <f>Site6!K53</f>
        <v>3000</v>
      </c>
      <c r="CK34" s="6">
        <f>Site6!L53</f>
        <v>3000</v>
      </c>
      <c r="CL34" s="6">
        <f>Site6!M53</f>
        <v>3000</v>
      </c>
      <c r="CM34" s="6">
        <f>Site6!N53</f>
        <v>3000</v>
      </c>
      <c r="CN34" s="6">
        <f>Site6!O53</f>
        <v>3000</v>
      </c>
      <c r="CO34" s="6">
        <f>Site6!P53</f>
        <v>3000</v>
      </c>
      <c r="CP34" s="2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s="6" customFormat="1" hidden="1" outlineLevel="1" x14ac:dyDescent="0.25">
      <c r="A35" s="18">
        <v>6157</v>
      </c>
      <c r="B35" s="144" t="s">
        <v>574</v>
      </c>
      <c r="C35" s="2"/>
      <c r="D35" s="154">
        <f t="shared" si="10"/>
        <v>11000</v>
      </c>
      <c r="E35" s="154">
        <f t="shared" si="9"/>
        <v>17000</v>
      </c>
      <c r="F35" s="154">
        <f t="shared" si="9"/>
        <v>17000</v>
      </c>
      <c r="G35" s="154">
        <f t="shared" si="9"/>
        <v>20000</v>
      </c>
      <c r="H35" s="154">
        <f t="shared" si="9"/>
        <v>20000</v>
      </c>
      <c r="I35" s="154">
        <f t="shared" si="9"/>
        <v>20000</v>
      </c>
      <c r="J35" s="154">
        <f t="shared" si="9"/>
        <v>20000</v>
      </c>
      <c r="K35" s="154">
        <f t="shared" si="9"/>
        <v>20000</v>
      </c>
      <c r="L35" s="154">
        <f t="shared" si="9"/>
        <v>20000</v>
      </c>
      <c r="M35" s="154">
        <f t="shared" si="9"/>
        <v>20000</v>
      </c>
      <c r="N35" s="154">
        <f t="shared" si="9"/>
        <v>20000</v>
      </c>
      <c r="O35" s="154">
        <f t="shared" si="9"/>
        <v>20000</v>
      </c>
      <c r="P35" s="2"/>
      <c r="Q35" s="6">
        <f>Site1!E54</f>
        <v>3000</v>
      </c>
      <c r="R35" s="6">
        <f>Site1!F54</f>
        <v>3000</v>
      </c>
      <c r="S35" s="6">
        <f>Site1!G54</f>
        <v>3000</v>
      </c>
      <c r="T35" s="6">
        <f>Site1!H54</f>
        <v>3000</v>
      </c>
      <c r="U35" s="6">
        <f>Site1!I54</f>
        <v>3000</v>
      </c>
      <c r="V35" s="6">
        <f>Site1!J54</f>
        <v>3000</v>
      </c>
      <c r="W35" s="6">
        <f>Site1!K54</f>
        <v>3000</v>
      </c>
      <c r="X35" s="6">
        <f>Site1!L54</f>
        <v>3000</v>
      </c>
      <c r="Y35" s="6">
        <f>Site1!M54</f>
        <v>3000</v>
      </c>
      <c r="Z35" s="6">
        <f>Site1!N54</f>
        <v>3000</v>
      </c>
      <c r="AA35" s="6">
        <f>Site1!O54</f>
        <v>3000</v>
      </c>
      <c r="AB35" s="6">
        <f>Site1!P54</f>
        <v>3000</v>
      </c>
      <c r="AC35" s="2"/>
      <c r="AD35" s="6">
        <f>Site2!E54</f>
        <v>3000</v>
      </c>
      <c r="AE35" s="6">
        <f>Site2!F54</f>
        <v>3000</v>
      </c>
      <c r="AF35" s="6">
        <f>Site2!G54</f>
        <v>3000</v>
      </c>
      <c r="AG35" s="6">
        <f>Site2!H54</f>
        <v>3000</v>
      </c>
      <c r="AH35" s="6">
        <f>Site2!I54</f>
        <v>3000</v>
      </c>
      <c r="AI35" s="6">
        <f>Site2!J54</f>
        <v>3000</v>
      </c>
      <c r="AJ35" s="6">
        <f>Site2!K54</f>
        <v>3000</v>
      </c>
      <c r="AK35" s="6">
        <f>Site2!L54</f>
        <v>3000</v>
      </c>
      <c r="AL35" s="6">
        <f>Site2!M54</f>
        <v>3000</v>
      </c>
      <c r="AM35" s="6">
        <f>Site2!N54</f>
        <v>3000</v>
      </c>
      <c r="AN35" s="6">
        <f>Site2!O54</f>
        <v>3000</v>
      </c>
      <c r="AO35" s="6">
        <f>Site2!P54</f>
        <v>3000</v>
      </c>
      <c r="AQ35" s="6">
        <f>Site3!E54</f>
        <v>0</v>
      </c>
      <c r="AR35" s="6">
        <f>Site3!F54</f>
        <v>3000</v>
      </c>
      <c r="AS35" s="6">
        <f>Site3!G54</f>
        <v>3000</v>
      </c>
      <c r="AT35" s="6">
        <f>Site3!H54</f>
        <v>3000</v>
      </c>
      <c r="AU35" s="6">
        <f>Site3!I54</f>
        <v>3000</v>
      </c>
      <c r="AV35" s="6">
        <f>Site3!J54</f>
        <v>3000</v>
      </c>
      <c r="AW35" s="6">
        <f>Site3!K54</f>
        <v>3000</v>
      </c>
      <c r="AX35" s="6">
        <f>Site3!L54</f>
        <v>3000</v>
      </c>
      <c r="AY35" s="6">
        <f>Site3!M54</f>
        <v>3000</v>
      </c>
      <c r="AZ35" s="6">
        <f>Site3!N54</f>
        <v>3000</v>
      </c>
      <c r="BA35" s="6">
        <f>Site3!O54</f>
        <v>3000</v>
      </c>
      <c r="BB35" s="6">
        <f>Site3!P54</f>
        <v>3000</v>
      </c>
      <c r="BD35" s="6">
        <f>Site4!E54</f>
        <v>0</v>
      </c>
      <c r="BE35" s="6">
        <f>Site4!F54</f>
        <v>3000</v>
      </c>
      <c r="BF35" s="6">
        <f>Site4!G54</f>
        <v>3000</v>
      </c>
      <c r="BG35" s="6">
        <f>Site4!H54</f>
        <v>3000</v>
      </c>
      <c r="BH35" s="6">
        <f>Site4!I54</f>
        <v>3000</v>
      </c>
      <c r="BI35" s="6">
        <f>Site4!J54</f>
        <v>3000</v>
      </c>
      <c r="BJ35" s="6">
        <f>Site4!K54</f>
        <v>3000</v>
      </c>
      <c r="BK35" s="6">
        <f>Site4!L54</f>
        <v>3000</v>
      </c>
      <c r="BL35" s="6">
        <f>Site4!M54</f>
        <v>3000</v>
      </c>
      <c r="BM35" s="6">
        <f>Site4!N54</f>
        <v>3000</v>
      </c>
      <c r="BN35" s="6">
        <f>Site4!O54</f>
        <v>3000</v>
      </c>
      <c r="BO35" s="6">
        <f>Site4!P54</f>
        <v>3000</v>
      </c>
      <c r="BQ35" s="6">
        <f>Site5!E54</f>
        <v>5000</v>
      </c>
      <c r="BR35" s="6">
        <f>Site5!F54</f>
        <v>5000</v>
      </c>
      <c r="BS35" s="6">
        <f>Site5!G54</f>
        <v>5000</v>
      </c>
      <c r="BT35" s="6">
        <f>Site5!H54</f>
        <v>5000</v>
      </c>
      <c r="BU35" s="6">
        <f>Site5!I54</f>
        <v>5000</v>
      </c>
      <c r="BV35" s="6">
        <f>Site5!J54</f>
        <v>5000</v>
      </c>
      <c r="BW35" s="6">
        <f>Site5!K54</f>
        <v>5000</v>
      </c>
      <c r="BX35" s="6">
        <f>Site5!L54</f>
        <v>5000</v>
      </c>
      <c r="BY35" s="6">
        <f>Site5!M54</f>
        <v>5000</v>
      </c>
      <c r="BZ35" s="6">
        <f>Site5!N54</f>
        <v>5000</v>
      </c>
      <c r="CA35" s="6">
        <f>Site5!O54</f>
        <v>5000</v>
      </c>
      <c r="CB35" s="6">
        <f>Site5!P54</f>
        <v>5000</v>
      </c>
      <c r="CD35" s="6">
        <f>Site6!E54</f>
        <v>0</v>
      </c>
      <c r="CE35" s="6">
        <f>Site6!F54</f>
        <v>0</v>
      </c>
      <c r="CF35" s="6">
        <f>Site6!G54</f>
        <v>0</v>
      </c>
      <c r="CG35" s="6">
        <f>Site6!H54</f>
        <v>3000</v>
      </c>
      <c r="CH35" s="6">
        <f>Site6!I54</f>
        <v>3000</v>
      </c>
      <c r="CI35" s="6">
        <f>Site6!J54</f>
        <v>3000</v>
      </c>
      <c r="CJ35" s="6">
        <f>Site6!K54</f>
        <v>3000</v>
      </c>
      <c r="CK35" s="6">
        <f>Site6!L54</f>
        <v>3000</v>
      </c>
      <c r="CL35" s="6">
        <f>Site6!M54</f>
        <v>3000</v>
      </c>
      <c r="CM35" s="6">
        <f>Site6!N54</f>
        <v>3000</v>
      </c>
      <c r="CN35" s="6">
        <f>Site6!O54</f>
        <v>3000</v>
      </c>
      <c r="CO35" s="6">
        <f>Site6!P54</f>
        <v>3000</v>
      </c>
      <c r="CP35" s="2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s="16" customFormat="1" collapsed="1" x14ac:dyDescent="0.25">
      <c r="A36" s="274">
        <v>100</v>
      </c>
      <c r="B36" s="274" t="s">
        <v>371</v>
      </c>
      <c r="D36" s="260">
        <f t="shared" si="10"/>
        <v>828871.8600000001</v>
      </c>
      <c r="E36" s="260">
        <f t="shared" si="9"/>
        <v>974627.18039999995</v>
      </c>
      <c r="F36" s="260">
        <f t="shared" si="9"/>
        <v>1137159.4730000002</v>
      </c>
      <c r="G36" s="260">
        <f t="shared" si="9"/>
        <v>1222259.7430499999</v>
      </c>
      <c r="H36" s="260">
        <f t="shared" si="9"/>
        <v>1252355.2099000001</v>
      </c>
      <c r="I36" s="260">
        <f t="shared" si="9"/>
        <v>1274500.6767500001</v>
      </c>
      <c r="J36" s="260">
        <f t="shared" si="9"/>
        <v>1296646.1436000001</v>
      </c>
      <c r="K36" s="260">
        <f t="shared" si="9"/>
        <v>1356181.9369000001</v>
      </c>
      <c r="L36" s="260">
        <f t="shared" si="9"/>
        <v>1416977.0399</v>
      </c>
      <c r="M36" s="260">
        <f t="shared" si="9"/>
        <v>1480031.4526</v>
      </c>
      <c r="N36" s="260">
        <f t="shared" si="9"/>
        <v>1504065.8840000001</v>
      </c>
      <c r="O36" s="260">
        <f t="shared" si="9"/>
        <v>1528100.3153999997</v>
      </c>
      <c r="Q36" s="261">
        <f>Site1!E55</f>
        <v>263522.2</v>
      </c>
      <c r="R36" s="261">
        <f>Site1!F55</f>
        <v>268552.64399999997</v>
      </c>
      <c r="S36" s="261">
        <f>Site1!G55</f>
        <v>273583.08799999999</v>
      </c>
      <c r="T36" s="261">
        <f>Site1!H55</f>
        <v>278613.53200000001</v>
      </c>
      <c r="U36" s="261">
        <f>Site1!I55</f>
        <v>283643.97600000002</v>
      </c>
      <c r="V36" s="261">
        <f>Site1!J55</f>
        <v>288674.42000000004</v>
      </c>
      <c r="W36" s="261">
        <f>Site1!K55</f>
        <v>293704.86400000006</v>
      </c>
      <c r="X36" s="261">
        <f>Site1!L55</f>
        <v>298735.30800000002</v>
      </c>
      <c r="Y36" s="261">
        <f>Site1!M55</f>
        <v>303765.75199999998</v>
      </c>
      <c r="Z36" s="261">
        <f>Site1!N55</f>
        <v>308796.196</v>
      </c>
      <c r="AA36" s="261">
        <f>Site1!O55</f>
        <v>313826.64</v>
      </c>
      <c r="AB36" s="261">
        <f>Site1!P55</f>
        <v>318857.08400000003</v>
      </c>
      <c r="AD36" s="261">
        <f>Site2!E55</f>
        <v>224654.58000000002</v>
      </c>
      <c r="AE36" s="261">
        <f>Site2!F55</f>
        <v>235037.6716</v>
      </c>
      <c r="AF36" s="261">
        <f>Site2!G55</f>
        <v>239420.76319999999</v>
      </c>
      <c r="AG36" s="261">
        <f>Site2!H55</f>
        <v>243803.8548</v>
      </c>
      <c r="AH36" s="261">
        <f>Site2!I55</f>
        <v>248186.94639999999</v>
      </c>
      <c r="AI36" s="261">
        <f>Site2!J55</f>
        <v>252570.03800000003</v>
      </c>
      <c r="AJ36" s="261">
        <f>Site2!K55</f>
        <v>256953.12960000004</v>
      </c>
      <c r="AK36" s="261">
        <f>Site2!L55</f>
        <v>261336.22120000003</v>
      </c>
      <c r="AL36" s="261">
        <f>Site2!M55</f>
        <v>265719.31279999996</v>
      </c>
      <c r="AM36" s="261">
        <f>Site2!N55</f>
        <v>270102.4044</v>
      </c>
      <c r="AN36" s="261">
        <f>Site2!O55</f>
        <v>274485.49599999998</v>
      </c>
      <c r="AO36" s="261">
        <f>Site2!P55</f>
        <v>278868.58760000003</v>
      </c>
      <c r="AQ36" s="261">
        <f>Site3!E55</f>
        <v>95879.5</v>
      </c>
      <c r="AR36" s="261">
        <f>Site3!F55</f>
        <v>147446.03159999999</v>
      </c>
      <c r="AS36" s="261">
        <f>Site3!G55</f>
        <v>150219.48320000002</v>
      </c>
      <c r="AT36" s="261">
        <f>Site3!H55</f>
        <v>152992.93479999999</v>
      </c>
      <c r="AU36" s="261">
        <f>Site3!I55</f>
        <v>155766.38640000002</v>
      </c>
      <c r="AV36" s="261">
        <f>Site3!J55</f>
        <v>158539.83800000002</v>
      </c>
      <c r="AW36" s="261">
        <f>Site3!K55</f>
        <v>161313.28960000002</v>
      </c>
      <c r="AX36" s="261">
        <f>Site3!L55</f>
        <v>164086.74120000002</v>
      </c>
      <c r="AY36" s="261">
        <f>Site3!M55</f>
        <v>204880.1741</v>
      </c>
      <c r="AZ36" s="261">
        <f>Site3!N55</f>
        <v>208283.28055</v>
      </c>
      <c r="BA36" s="261">
        <f>Site3!O55</f>
        <v>211686.38700000002</v>
      </c>
      <c r="BB36" s="261">
        <f>Site3!P55</f>
        <v>215089.49345000001</v>
      </c>
      <c r="BD36" s="261">
        <f>Site4!E55</f>
        <v>91539.5</v>
      </c>
      <c r="BE36" s="261">
        <f>Site4!F55</f>
        <v>155259.2316</v>
      </c>
      <c r="BF36" s="261">
        <f>Site4!G55</f>
        <v>165985.88319999998</v>
      </c>
      <c r="BG36" s="261">
        <f>Site4!H55</f>
        <v>169062.53479999999</v>
      </c>
      <c r="BH36" s="261">
        <f>Site4!I55</f>
        <v>172139.18640000001</v>
      </c>
      <c r="BI36" s="261">
        <f>Site4!J55</f>
        <v>175215.83800000002</v>
      </c>
      <c r="BJ36" s="261">
        <f>Site4!K55</f>
        <v>178292.48960000003</v>
      </c>
      <c r="BK36" s="261">
        <f>Site4!L55</f>
        <v>218759.46765000001</v>
      </c>
      <c r="BL36" s="261">
        <f>Site4!M55</f>
        <v>222465.77409999998</v>
      </c>
      <c r="BM36" s="261">
        <f>Site4!N55</f>
        <v>226172.08054999998</v>
      </c>
      <c r="BN36" s="261">
        <f>Site4!O55</f>
        <v>229878.38700000002</v>
      </c>
      <c r="BO36" s="261">
        <f>Site4!P55</f>
        <v>233584.69345000002</v>
      </c>
      <c r="BQ36" s="261">
        <f>Site5!E55</f>
        <v>153276.08000000002</v>
      </c>
      <c r="BR36" s="261">
        <f>Site5!F55</f>
        <v>168331.60159999999</v>
      </c>
      <c r="BS36" s="261">
        <f>Site5!G55</f>
        <v>212869.17540000001</v>
      </c>
      <c r="BT36" s="261">
        <f>Site5!H55</f>
        <v>216674.35185000001</v>
      </c>
      <c r="BU36" s="261">
        <f>Site5!I55</f>
        <v>220479.52830000001</v>
      </c>
      <c r="BV36" s="261">
        <f>Site5!J55</f>
        <v>224284.70475000003</v>
      </c>
      <c r="BW36" s="261">
        <f>Site5!K55</f>
        <v>228089.88120000003</v>
      </c>
      <c r="BX36" s="261">
        <f>Site5!L55</f>
        <v>231895.05765000003</v>
      </c>
      <c r="BY36" s="261">
        <f>Site5!M55</f>
        <v>235700.2341</v>
      </c>
      <c r="BZ36" s="261">
        <f>Site5!N55</f>
        <v>279155.04670000001</v>
      </c>
      <c r="CA36" s="261">
        <f>Site5!O55</f>
        <v>283589.87800000003</v>
      </c>
      <c r="CB36" s="261">
        <f>Site5!P55</f>
        <v>288024.70929999999</v>
      </c>
      <c r="CD36" s="261">
        <f>Site6!E55</f>
        <v>0</v>
      </c>
      <c r="CE36" s="261">
        <f>Site6!F55</f>
        <v>0</v>
      </c>
      <c r="CF36" s="261">
        <f>Site6!G55</f>
        <v>95081.08</v>
      </c>
      <c r="CG36" s="261">
        <f>Site6!H55</f>
        <v>161112.53479999999</v>
      </c>
      <c r="CH36" s="261">
        <f>Site6!I55</f>
        <v>172139.18640000001</v>
      </c>
      <c r="CI36" s="261">
        <f>Site6!J55</f>
        <v>175215.83800000002</v>
      </c>
      <c r="CJ36" s="261">
        <f>Site6!K55</f>
        <v>178292.48960000003</v>
      </c>
      <c r="CK36" s="261">
        <f>Site6!L55</f>
        <v>181369.14120000001</v>
      </c>
      <c r="CL36" s="261">
        <f>Site6!M55</f>
        <v>184445.7928</v>
      </c>
      <c r="CM36" s="261">
        <f>Site6!N55</f>
        <v>187522.44439999998</v>
      </c>
      <c r="CN36" s="261">
        <f>Site6!O55</f>
        <v>190599.09600000002</v>
      </c>
      <c r="CO36" s="261">
        <f>Site6!P55</f>
        <v>193675.7476</v>
      </c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</row>
    <row r="37" spans="1:107" s="2" customFormat="1" hidden="1" outlineLevel="1" x14ac:dyDescent="0.25">
      <c r="A37" s="18">
        <v>6211</v>
      </c>
      <c r="B37" s="18" t="s">
        <v>381</v>
      </c>
      <c r="D37" s="154">
        <f t="shared" si="10"/>
        <v>676.87465999999995</v>
      </c>
      <c r="E37" s="154">
        <f t="shared" si="9"/>
        <v>690.41215319999992</v>
      </c>
      <c r="F37" s="154">
        <f t="shared" si="9"/>
        <v>884.03093349999995</v>
      </c>
      <c r="G37" s="154">
        <f t="shared" si="9"/>
        <v>901.03152837499999</v>
      </c>
      <c r="H37" s="154">
        <f t="shared" si="9"/>
        <v>918.03212325000004</v>
      </c>
      <c r="I37" s="154">
        <f t="shared" si="9"/>
        <v>935.03271812499997</v>
      </c>
      <c r="J37" s="154">
        <f t="shared" si="9"/>
        <v>952.03331300000002</v>
      </c>
      <c r="K37" s="154">
        <f t="shared" si="9"/>
        <v>1166.4307033500002</v>
      </c>
      <c r="L37" s="154">
        <f t="shared" si="9"/>
        <v>1387.7542970500001</v>
      </c>
      <c r="M37" s="154">
        <f t="shared" si="9"/>
        <v>1616.0040941</v>
      </c>
      <c r="N37" s="154">
        <f t="shared" si="9"/>
        <v>1643.393994</v>
      </c>
      <c r="O37" s="154">
        <f t="shared" si="9"/>
        <v>1670.7838939000001</v>
      </c>
      <c r="Q37" s="6">
        <f>Site1!E56</f>
        <v>377.79290999999995</v>
      </c>
      <c r="R37" s="6">
        <f>Site1!F56</f>
        <v>385.34876819999999</v>
      </c>
      <c r="S37" s="6">
        <f>Site1!G56</f>
        <v>392.90462640000004</v>
      </c>
      <c r="T37" s="6">
        <f>Site1!H56</f>
        <v>400.46048459999997</v>
      </c>
      <c r="U37" s="6">
        <f>Site1!I56</f>
        <v>408.01634280000002</v>
      </c>
      <c r="V37" s="6">
        <f>Site1!J56</f>
        <v>415.57220100000001</v>
      </c>
      <c r="W37" s="6">
        <f>Site1!K56</f>
        <v>423.1280592</v>
      </c>
      <c r="X37" s="6">
        <f>Site1!L56</f>
        <v>430.6839174000001</v>
      </c>
      <c r="Y37" s="6">
        <f>Site1!M56</f>
        <v>438.23977559999997</v>
      </c>
      <c r="Z37" s="6">
        <f>Site1!N56</f>
        <v>445.79563380000002</v>
      </c>
      <c r="AA37" s="6">
        <f>Site1!O56</f>
        <v>453.35149200000001</v>
      </c>
      <c r="AB37" s="6">
        <f>Site1!P56</f>
        <v>460.9073502</v>
      </c>
      <c r="AD37" s="6">
        <f>Site2!E56</f>
        <v>299.08175</v>
      </c>
      <c r="AE37" s="6">
        <f>Site2!F56</f>
        <v>305.06338499999998</v>
      </c>
      <c r="AF37" s="6">
        <f>Site2!G56</f>
        <v>311.04501999999997</v>
      </c>
      <c r="AG37" s="6">
        <f>Site2!H56</f>
        <v>317.02665500000001</v>
      </c>
      <c r="AH37" s="6">
        <f>Site2!I56</f>
        <v>323.00828999999999</v>
      </c>
      <c r="AI37" s="6">
        <f>Site2!J56</f>
        <v>328.98992500000003</v>
      </c>
      <c r="AJ37" s="6">
        <f>Site2!K56</f>
        <v>334.97156000000001</v>
      </c>
      <c r="AK37" s="6">
        <f>Site2!L56</f>
        <v>340.95319499999999</v>
      </c>
      <c r="AL37" s="6">
        <f>Site2!M56</f>
        <v>346.93482999999998</v>
      </c>
      <c r="AM37" s="6">
        <f>Site2!N56</f>
        <v>352.91646500000002</v>
      </c>
      <c r="AN37" s="6">
        <f>Site2!O56</f>
        <v>358.8981</v>
      </c>
      <c r="AO37" s="6">
        <f>Site2!P56</f>
        <v>364.87973499999998</v>
      </c>
      <c r="AQ37" s="6">
        <f>Site3!E56</f>
        <v>0</v>
      </c>
      <c r="AR37" s="6">
        <f>Site3!F56</f>
        <v>0</v>
      </c>
      <c r="AS37" s="6">
        <f>Site3!G56</f>
        <v>0</v>
      </c>
      <c r="AT37" s="6">
        <f>Site3!H56</f>
        <v>0</v>
      </c>
      <c r="AU37" s="6">
        <f>Site3!I56</f>
        <v>0</v>
      </c>
      <c r="AV37" s="6">
        <f>Site3!J56</f>
        <v>0</v>
      </c>
      <c r="AW37" s="6">
        <f>Site3!K56</f>
        <v>0</v>
      </c>
      <c r="AX37" s="6">
        <f>Site3!L56</f>
        <v>0</v>
      </c>
      <c r="AY37" s="6">
        <f>Site3!M56</f>
        <v>200.85989714999999</v>
      </c>
      <c r="AZ37" s="6">
        <f>Site3!N56</f>
        <v>204.32299882499998</v>
      </c>
      <c r="BA37" s="6">
        <f>Site3!O56</f>
        <v>207.7861005</v>
      </c>
      <c r="BB37" s="6">
        <f>Site3!P56</f>
        <v>211.24920217500002</v>
      </c>
      <c r="BD37" s="6">
        <f>Site4!E56</f>
        <v>0</v>
      </c>
      <c r="BE37" s="6">
        <f>Site4!F56</f>
        <v>0</v>
      </c>
      <c r="BF37" s="6">
        <f>Site4!G56</f>
        <v>0</v>
      </c>
      <c r="BG37" s="6">
        <f>Site4!H56</f>
        <v>0</v>
      </c>
      <c r="BH37" s="6">
        <f>Site4!I56</f>
        <v>0</v>
      </c>
      <c r="BI37" s="6">
        <f>Site4!J56</f>
        <v>0</v>
      </c>
      <c r="BJ37" s="6">
        <f>Site4!K56</f>
        <v>0</v>
      </c>
      <c r="BK37" s="6">
        <f>Site4!L56</f>
        <v>197.39679547500003</v>
      </c>
      <c r="BL37" s="6">
        <f>Site4!M56</f>
        <v>200.85989714999999</v>
      </c>
      <c r="BM37" s="6">
        <f>Site4!N56</f>
        <v>204.32299882499998</v>
      </c>
      <c r="BN37" s="6">
        <f>Site4!O56</f>
        <v>207.7861005</v>
      </c>
      <c r="BO37" s="6">
        <f>Site4!P56</f>
        <v>211.24920217500002</v>
      </c>
      <c r="BQ37" s="6">
        <f>Site5!E56</f>
        <v>0</v>
      </c>
      <c r="BR37" s="6">
        <f>Site5!F56</f>
        <v>0</v>
      </c>
      <c r="BS37" s="6">
        <f>Site5!G56</f>
        <v>180.0812871</v>
      </c>
      <c r="BT37" s="6">
        <f>Site5!H56</f>
        <v>183.54438877500002</v>
      </c>
      <c r="BU37" s="6">
        <f>Site5!I56</f>
        <v>187.00749045000001</v>
      </c>
      <c r="BV37" s="6">
        <f>Site5!J56</f>
        <v>190.470592125</v>
      </c>
      <c r="BW37" s="6">
        <f>Site5!K56</f>
        <v>193.93369380000004</v>
      </c>
      <c r="BX37" s="6">
        <f>Site5!L56</f>
        <v>197.39679547500003</v>
      </c>
      <c r="BY37" s="6">
        <f>Site5!M56</f>
        <v>200.85989714999999</v>
      </c>
      <c r="BZ37" s="6">
        <f>Site5!N56</f>
        <v>408.64599764999997</v>
      </c>
      <c r="CA37" s="6">
        <f>Site5!O56</f>
        <v>415.57220100000001</v>
      </c>
      <c r="CB37" s="6">
        <f>Site5!P56</f>
        <v>422.49840435000004</v>
      </c>
      <c r="CD37" s="6">
        <f>Site6!E56</f>
        <v>0</v>
      </c>
      <c r="CE37" s="6">
        <f>Site6!F56</f>
        <v>0</v>
      </c>
      <c r="CF37" s="6">
        <f>Site6!G56</f>
        <v>0</v>
      </c>
      <c r="CG37" s="6">
        <f>Site6!H56</f>
        <v>0</v>
      </c>
      <c r="CH37" s="6">
        <f>Site6!I56</f>
        <v>0</v>
      </c>
      <c r="CI37" s="6">
        <f>Site6!J56</f>
        <v>0</v>
      </c>
      <c r="CJ37" s="6">
        <f>Site6!K56</f>
        <v>0</v>
      </c>
      <c r="CK37" s="6">
        <f>Site6!L56</f>
        <v>0</v>
      </c>
      <c r="CL37" s="6">
        <f>Site6!M56</f>
        <v>0</v>
      </c>
      <c r="CM37" s="6">
        <f>Site6!N56</f>
        <v>0</v>
      </c>
      <c r="CN37" s="6">
        <f>Site6!O56</f>
        <v>0</v>
      </c>
      <c r="CO37" s="6">
        <f>Site6!P56</f>
        <v>0</v>
      </c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2" customFormat="1" hidden="1" outlineLevel="1" x14ac:dyDescent="0.25">
      <c r="A38" s="18">
        <v>6214</v>
      </c>
      <c r="B38" s="18" t="s">
        <v>378</v>
      </c>
      <c r="D38" s="154">
        <f t="shared" si="10"/>
        <v>2365.4647499999996</v>
      </c>
      <c r="E38" s="154">
        <f t="shared" si="9"/>
        <v>2412.7740450000001</v>
      </c>
      <c r="F38" s="154">
        <f t="shared" si="9"/>
        <v>2940.78928</v>
      </c>
      <c r="G38" s="154">
        <f t="shared" si="9"/>
        <v>2997.3429199999996</v>
      </c>
      <c r="H38" s="154">
        <f t="shared" si="9"/>
        <v>3053.8965599999997</v>
      </c>
      <c r="I38" s="154">
        <f t="shared" si="9"/>
        <v>3110.4502000000002</v>
      </c>
      <c r="J38" s="154">
        <f t="shared" si="9"/>
        <v>3167.0038400000003</v>
      </c>
      <c r="K38" s="154">
        <f t="shared" si="9"/>
        <v>3223.5574800000004</v>
      </c>
      <c r="L38" s="154">
        <f t="shared" si="9"/>
        <v>3280.1111200000005</v>
      </c>
      <c r="M38" s="154">
        <f t="shared" si="9"/>
        <v>3336.6647599999992</v>
      </c>
      <c r="N38" s="154">
        <f t="shared" si="9"/>
        <v>3393.2183999999997</v>
      </c>
      <c r="O38" s="154">
        <f t="shared" si="9"/>
        <v>3449.7720399999998</v>
      </c>
      <c r="Q38" s="6">
        <f>Site1!E57</f>
        <v>462.21724999999998</v>
      </c>
      <c r="R38" s="6">
        <f>Site1!F57</f>
        <v>471.46159500000005</v>
      </c>
      <c r="S38" s="6">
        <f>Site1!G57</f>
        <v>480.70594</v>
      </c>
      <c r="T38" s="6">
        <f>Site1!H57</f>
        <v>489.95028499999995</v>
      </c>
      <c r="U38" s="6">
        <f>Site1!I57</f>
        <v>499.19463000000002</v>
      </c>
      <c r="V38" s="6">
        <f>Site1!J57</f>
        <v>508.43897500000003</v>
      </c>
      <c r="W38" s="6">
        <f>Site1!K57</f>
        <v>517.68332000000009</v>
      </c>
      <c r="X38" s="6">
        <f>Site1!L57</f>
        <v>526.92766500000005</v>
      </c>
      <c r="Y38" s="6">
        <f>Site1!M57</f>
        <v>536.17201</v>
      </c>
      <c r="Z38" s="6">
        <f>Site1!N57</f>
        <v>545.41635499999995</v>
      </c>
      <c r="AA38" s="6">
        <f>Site1!O57</f>
        <v>554.66070000000002</v>
      </c>
      <c r="AB38" s="6">
        <f>Site1!P57</f>
        <v>563.90504499999997</v>
      </c>
      <c r="AD38" s="6">
        <f>Site2!E57</f>
        <v>489.40649999999999</v>
      </c>
      <c r="AE38" s="6">
        <f>Site2!F57</f>
        <v>499.19463000000002</v>
      </c>
      <c r="AF38" s="6">
        <f>Site2!G57</f>
        <v>508.98275999999998</v>
      </c>
      <c r="AG38" s="6">
        <f>Site2!H57</f>
        <v>518.77088999999989</v>
      </c>
      <c r="AH38" s="6">
        <f>Site2!I57</f>
        <v>528.55901999999992</v>
      </c>
      <c r="AI38" s="6">
        <f>Site2!J57</f>
        <v>538.34715000000006</v>
      </c>
      <c r="AJ38" s="6">
        <f>Site2!K57</f>
        <v>548.13528000000008</v>
      </c>
      <c r="AK38" s="6">
        <f>Site2!L57</f>
        <v>557.92340999999999</v>
      </c>
      <c r="AL38" s="6">
        <f>Site2!M57</f>
        <v>567.71154000000001</v>
      </c>
      <c r="AM38" s="6">
        <f>Site2!N57</f>
        <v>577.49966999999992</v>
      </c>
      <c r="AN38" s="6">
        <f>Site2!O57</f>
        <v>587.28779999999995</v>
      </c>
      <c r="AO38" s="6">
        <f>Site2!P57</f>
        <v>597.07592999999997</v>
      </c>
      <c r="AQ38" s="6">
        <f>Site3!E57</f>
        <v>462.21724999999998</v>
      </c>
      <c r="AR38" s="6">
        <f>Site3!F57</f>
        <v>471.46159500000005</v>
      </c>
      <c r="AS38" s="6">
        <f>Site3!G57</f>
        <v>480.70594</v>
      </c>
      <c r="AT38" s="6">
        <f>Site3!H57</f>
        <v>489.95028499999995</v>
      </c>
      <c r="AU38" s="6">
        <f>Site3!I57</f>
        <v>499.19463000000002</v>
      </c>
      <c r="AV38" s="6">
        <f>Site3!J57</f>
        <v>508.43897500000003</v>
      </c>
      <c r="AW38" s="6">
        <f>Site3!K57</f>
        <v>517.68332000000009</v>
      </c>
      <c r="AX38" s="6">
        <f>Site3!L57</f>
        <v>526.92766500000005</v>
      </c>
      <c r="AY38" s="6">
        <f>Site3!M57</f>
        <v>536.17201</v>
      </c>
      <c r="AZ38" s="6">
        <f>Site3!N57</f>
        <v>545.41635499999995</v>
      </c>
      <c r="BA38" s="6">
        <f>Site3!O57</f>
        <v>554.66070000000002</v>
      </c>
      <c r="BB38" s="6">
        <f>Site3!P57</f>
        <v>563.90504499999997</v>
      </c>
      <c r="BD38" s="6">
        <f>Site4!E57</f>
        <v>462.21724999999998</v>
      </c>
      <c r="BE38" s="6">
        <f>Site4!F57</f>
        <v>471.46159500000005</v>
      </c>
      <c r="BF38" s="6">
        <f>Site4!G57</f>
        <v>480.70594</v>
      </c>
      <c r="BG38" s="6">
        <f>Site4!H57</f>
        <v>489.95028499999995</v>
      </c>
      <c r="BH38" s="6">
        <f>Site4!I57</f>
        <v>499.19463000000002</v>
      </c>
      <c r="BI38" s="6">
        <f>Site4!J57</f>
        <v>508.43897500000003</v>
      </c>
      <c r="BJ38" s="6">
        <f>Site4!K57</f>
        <v>517.68332000000009</v>
      </c>
      <c r="BK38" s="6">
        <f>Site4!L57</f>
        <v>526.92766500000005</v>
      </c>
      <c r="BL38" s="6">
        <f>Site4!M57</f>
        <v>536.17201</v>
      </c>
      <c r="BM38" s="6">
        <f>Site4!N57</f>
        <v>545.41635499999995</v>
      </c>
      <c r="BN38" s="6">
        <f>Site4!O57</f>
        <v>554.66070000000002</v>
      </c>
      <c r="BO38" s="6">
        <f>Site4!P57</f>
        <v>563.90504499999997</v>
      </c>
      <c r="BQ38" s="6">
        <f>Site5!E57</f>
        <v>489.40649999999999</v>
      </c>
      <c r="BR38" s="6">
        <f>Site5!F57</f>
        <v>499.19463000000002</v>
      </c>
      <c r="BS38" s="6">
        <f>Site5!G57</f>
        <v>508.98275999999998</v>
      </c>
      <c r="BT38" s="6">
        <f>Site5!H57</f>
        <v>518.77088999999989</v>
      </c>
      <c r="BU38" s="6">
        <f>Site5!I57</f>
        <v>528.55901999999992</v>
      </c>
      <c r="BV38" s="6">
        <f>Site5!J57</f>
        <v>538.34715000000006</v>
      </c>
      <c r="BW38" s="6">
        <f>Site5!K57</f>
        <v>548.13528000000008</v>
      </c>
      <c r="BX38" s="6">
        <f>Site5!L57</f>
        <v>557.92340999999999</v>
      </c>
      <c r="BY38" s="6">
        <f>Site5!M57</f>
        <v>567.71154000000001</v>
      </c>
      <c r="BZ38" s="6">
        <f>Site5!N57</f>
        <v>577.49966999999992</v>
      </c>
      <c r="CA38" s="6">
        <f>Site5!O57</f>
        <v>587.28779999999995</v>
      </c>
      <c r="CB38" s="6">
        <f>Site5!P57</f>
        <v>597.07592999999997</v>
      </c>
      <c r="CD38" s="6">
        <f>Site6!E57</f>
        <v>0</v>
      </c>
      <c r="CE38" s="6">
        <f>Site6!F57</f>
        <v>0</v>
      </c>
      <c r="CF38" s="6">
        <f>Site6!G57</f>
        <v>480.70594</v>
      </c>
      <c r="CG38" s="6">
        <f>Site6!H57</f>
        <v>489.95028499999995</v>
      </c>
      <c r="CH38" s="6">
        <f>Site6!I57</f>
        <v>499.19463000000002</v>
      </c>
      <c r="CI38" s="6">
        <f>Site6!J57</f>
        <v>508.43897500000003</v>
      </c>
      <c r="CJ38" s="6">
        <f>Site6!K57</f>
        <v>517.68332000000009</v>
      </c>
      <c r="CK38" s="6">
        <f>Site6!L57</f>
        <v>526.92766500000005</v>
      </c>
      <c r="CL38" s="6">
        <f>Site6!M57</f>
        <v>536.17201</v>
      </c>
      <c r="CM38" s="6">
        <f>Site6!N57</f>
        <v>545.41635499999995</v>
      </c>
      <c r="CN38" s="6">
        <f>Site6!O57</f>
        <v>554.66070000000002</v>
      </c>
      <c r="CO38" s="6">
        <f>Site6!P57</f>
        <v>563.90504499999997</v>
      </c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s="2" customFormat="1" hidden="1" outlineLevel="1" x14ac:dyDescent="0.25">
      <c r="A39" s="18">
        <v>6217</v>
      </c>
      <c r="B39" s="18" t="s">
        <v>379</v>
      </c>
      <c r="D39" s="154">
        <f t="shared" si="10"/>
        <v>1511.17164</v>
      </c>
      <c r="E39" s="154">
        <f t="shared" ref="E39:E102" si="11">R39+AE39+AR39+BE39+BR39+CE39</f>
        <v>2568.9917879999994</v>
      </c>
      <c r="F39" s="154">
        <f t="shared" ref="F39:F102" si="12">S39+AF39+AS39+BF39+BS39+CF39</f>
        <v>2619.3641759999996</v>
      </c>
      <c r="G39" s="154">
        <f t="shared" ref="G39:G102" si="13">T39+AG39+AT39+BG39+BT39+CG39</f>
        <v>3203.6838767999998</v>
      </c>
      <c r="H39" s="154">
        <f t="shared" ref="H39:H102" si="14">U39+AH39+AU39+BH39+BU39+CH39</f>
        <v>3264.1307424000001</v>
      </c>
      <c r="I39" s="154">
        <f t="shared" ref="I39:I102" si="15">V39+AI39+AV39+BI39+BV39+CI39</f>
        <v>3324.5776080000005</v>
      </c>
      <c r="J39" s="154">
        <f t="shared" ref="J39:J102" si="16">W39+AJ39+AW39+BJ39+BW39+CJ39</f>
        <v>3385.0244736</v>
      </c>
      <c r="K39" s="154">
        <f t="shared" ref="K39:K102" si="17">X39+AK39+AX39+BK39+BX39+CK39</f>
        <v>3445.4713392000003</v>
      </c>
      <c r="L39" s="154">
        <f t="shared" ref="L39:L102" si="18">Y39+AL39+AY39+BL39+BY39+CL39</f>
        <v>3505.9182047999993</v>
      </c>
      <c r="M39" s="154">
        <f t="shared" ref="M39:M102" si="19">Z39+AM39+AZ39+BM39+BZ39+CM39</f>
        <v>3566.3650703999997</v>
      </c>
      <c r="N39" s="154">
        <f t="shared" ref="N39:N102" si="20">AA39+AN39+BA39+BN39+CA39+CN39</f>
        <v>3626.8119360000001</v>
      </c>
      <c r="O39" s="154">
        <f t="shared" ref="O39:O102" si="21">AB39+AO39+BB39+BO39+CB39+CO39</f>
        <v>3687.2588016</v>
      </c>
      <c r="Q39" s="6">
        <f>Site1!E58</f>
        <v>503.72388000000001</v>
      </c>
      <c r="R39" s="6">
        <f>Site1!F58</f>
        <v>513.79835759999992</v>
      </c>
      <c r="S39" s="6">
        <f>Site1!G58</f>
        <v>523.87283519999994</v>
      </c>
      <c r="T39" s="6">
        <f>Site1!H58</f>
        <v>533.94731279999996</v>
      </c>
      <c r="U39" s="6">
        <f>Site1!I58</f>
        <v>544.02179039999999</v>
      </c>
      <c r="V39" s="6">
        <f>Site1!J58</f>
        <v>554.09626800000001</v>
      </c>
      <c r="W39" s="6">
        <f>Site1!K58</f>
        <v>564.17074560000003</v>
      </c>
      <c r="X39" s="6">
        <f>Site1!L58</f>
        <v>574.24522320000005</v>
      </c>
      <c r="Y39" s="6">
        <f>Site1!M58</f>
        <v>584.31970079999996</v>
      </c>
      <c r="Z39" s="6">
        <f>Site1!N58</f>
        <v>594.39417839999999</v>
      </c>
      <c r="AA39" s="6">
        <f>Site1!O58</f>
        <v>604.46865600000001</v>
      </c>
      <c r="AB39" s="6">
        <f>Site1!P58</f>
        <v>614.54313359999992</v>
      </c>
      <c r="AD39" s="6">
        <f>Site2!E58</f>
        <v>503.72388000000001</v>
      </c>
      <c r="AE39" s="6">
        <f>Site2!F58</f>
        <v>513.79835759999992</v>
      </c>
      <c r="AF39" s="6">
        <f>Site2!G58</f>
        <v>523.87283519999994</v>
      </c>
      <c r="AG39" s="6">
        <f>Site2!H58</f>
        <v>533.94731279999996</v>
      </c>
      <c r="AH39" s="6">
        <f>Site2!I58</f>
        <v>544.02179039999999</v>
      </c>
      <c r="AI39" s="6">
        <f>Site2!J58</f>
        <v>554.09626800000001</v>
      </c>
      <c r="AJ39" s="6">
        <f>Site2!K58</f>
        <v>564.17074560000003</v>
      </c>
      <c r="AK39" s="6">
        <f>Site2!L58</f>
        <v>574.24522320000005</v>
      </c>
      <c r="AL39" s="6">
        <f>Site2!M58</f>
        <v>584.31970079999996</v>
      </c>
      <c r="AM39" s="6">
        <f>Site2!N58</f>
        <v>594.39417839999999</v>
      </c>
      <c r="AN39" s="6">
        <f>Site2!O58</f>
        <v>604.46865600000001</v>
      </c>
      <c r="AO39" s="6">
        <f>Site2!P58</f>
        <v>614.54313359999992</v>
      </c>
      <c r="AQ39" s="6">
        <f>Site3!E58</f>
        <v>0</v>
      </c>
      <c r="AR39" s="6">
        <f>Site3!F58</f>
        <v>513.79835759999992</v>
      </c>
      <c r="AS39" s="6">
        <f>Site3!G58</f>
        <v>523.87283519999994</v>
      </c>
      <c r="AT39" s="6">
        <f>Site3!H58</f>
        <v>533.94731279999996</v>
      </c>
      <c r="AU39" s="6">
        <f>Site3!I58</f>
        <v>544.02179039999999</v>
      </c>
      <c r="AV39" s="6">
        <f>Site3!J58</f>
        <v>554.09626800000001</v>
      </c>
      <c r="AW39" s="6">
        <f>Site3!K58</f>
        <v>564.17074560000003</v>
      </c>
      <c r="AX39" s="6">
        <f>Site3!L58</f>
        <v>574.24522320000005</v>
      </c>
      <c r="AY39" s="6">
        <f>Site3!M58</f>
        <v>584.31970079999996</v>
      </c>
      <c r="AZ39" s="6">
        <f>Site3!N58</f>
        <v>594.39417839999999</v>
      </c>
      <c r="BA39" s="6">
        <f>Site3!O58</f>
        <v>604.46865600000001</v>
      </c>
      <c r="BB39" s="6">
        <f>Site3!P58</f>
        <v>614.54313359999992</v>
      </c>
      <c r="BD39" s="6">
        <f>Site4!E58</f>
        <v>0</v>
      </c>
      <c r="BE39" s="6">
        <f>Site4!F58</f>
        <v>513.79835759999992</v>
      </c>
      <c r="BF39" s="6">
        <f>Site4!G58</f>
        <v>523.87283519999994</v>
      </c>
      <c r="BG39" s="6">
        <f>Site4!H58</f>
        <v>533.94731279999996</v>
      </c>
      <c r="BH39" s="6">
        <f>Site4!I58</f>
        <v>544.02179039999999</v>
      </c>
      <c r="BI39" s="6">
        <f>Site4!J58</f>
        <v>554.09626800000001</v>
      </c>
      <c r="BJ39" s="6">
        <f>Site4!K58</f>
        <v>564.17074560000003</v>
      </c>
      <c r="BK39" s="6">
        <f>Site4!L58</f>
        <v>574.24522320000005</v>
      </c>
      <c r="BL39" s="6">
        <f>Site4!M58</f>
        <v>584.31970079999996</v>
      </c>
      <c r="BM39" s="6">
        <f>Site4!N58</f>
        <v>594.39417839999999</v>
      </c>
      <c r="BN39" s="6">
        <f>Site4!O58</f>
        <v>604.46865600000001</v>
      </c>
      <c r="BO39" s="6">
        <f>Site4!P58</f>
        <v>614.54313359999992</v>
      </c>
      <c r="BQ39" s="6">
        <f>Site5!E58</f>
        <v>503.72388000000001</v>
      </c>
      <c r="BR39" s="6">
        <f>Site5!F58</f>
        <v>513.79835759999992</v>
      </c>
      <c r="BS39" s="6">
        <f>Site5!G58</f>
        <v>523.87283519999994</v>
      </c>
      <c r="BT39" s="6">
        <f>Site5!H58</f>
        <v>533.94731279999996</v>
      </c>
      <c r="BU39" s="6">
        <f>Site5!I58</f>
        <v>544.02179039999999</v>
      </c>
      <c r="BV39" s="6">
        <f>Site5!J58</f>
        <v>554.09626800000001</v>
      </c>
      <c r="BW39" s="6">
        <f>Site5!K58</f>
        <v>564.17074560000003</v>
      </c>
      <c r="BX39" s="6">
        <f>Site5!L58</f>
        <v>574.24522320000005</v>
      </c>
      <c r="BY39" s="6">
        <f>Site5!M58</f>
        <v>584.31970079999996</v>
      </c>
      <c r="BZ39" s="6">
        <f>Site5!N58</f>
        <v>594.39417839999999</v>
      </c>
      <c r="CA39" s="6">
        <f>Site5!O58</f>
        <v>604.46865600000001</v>
      </c>
      <c r="CB39" s="6">
        <f>Site5!P58</f>
        <v>614.54313359999992</v>
      </c>
      <c r="CD39" s="6">
        <f>Site6!E58</f>
        <v>0</v>
      </c>
      <c r="CE39" s="6">
        <f>Site6!F58</f>
        <v>0</v>
      </c>
      <c r="CF39" s="6">
        <f>Site6!G58</f>
        <v>0</v>
      </c>
      <c r="CG39" s="6">
        <f>Site6!H58</f>
        <v>533.94731279999996</v>
      </c>
      <c r="CH39" s="6">
        <f>Site6!I58</f>
        <v>544.02179039999999</v>
      </c>
      <c r="CI39" s="6">
        <f>Site6!J58</f>
        <v>554.09626800000001</v>
      </c>
      <c r="CJ39" s="6">
        <f>Site6!K58</f>
        <v>564.17074560000003</v>
      </c>
      <c r="CK39" s="6">
        <f>Site6!L58</f>
        <v>574.24522320000005</v>
      </c>
      <c r="CL39" s="6">
        <f>Site6!M58</f>
        <v>584.31970079999996</v>
      </c>
      <c r="CM39" s="6">
        <f>Site6!N58</f>
        <v>594.39417839999999</v>
      </c>
      <c r="CN39" s="6">
        <f>Site6!O58</f>
        <v>604.46865600000001</v>
      </c>
      <c r="CO39" s="6">
        <f>Site6!P58</f>
        <v>614.54313359999992</v>
      </c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s="2" customFormat="1" hidden="1" outlineLevel="1" x14ac:dyDescent="0.25">
      <c r="A40" s="18">
        <v>6227</v>
      </c>
      <c r="B40" s="18" t="s">
        <v>380</v>
      </c>
      <c r="D40" s="154">
        <f t="shared" si="10"/>
        <v>5973.08</v>
      </c>
      <c r="E40" s="154">
        <f t="shared" si="11"/>
        <v>7989.7415999999994</v>
      </c>
      <c r="F40" s="154">
        <f t="shared" si="12"/>
        <v>9307.0432000000001</v>
      </c>
      <c r="G40" s="154">
        <f t="shared" si="13"/>
        <v>10274.664799999999</v>
      </c>
      <c r="H40" s="154">
        <f t="shared" si="14"/>
        <v>10970.7264</v>
      </c>
      <c r="I40" s="154">
        <f t="shared" si="15"/>
        <v>11173.887999999999</v>
      </c>
      <c r="J40" s="154">
        <f t="shared" si="16"/>
        <v>11377.0496</v>
      </c>
      <c r="K40" s="154">
        <f t="shared" si="17"/>
        <v>11580.211200000002</v>
      </c>
      <c r="L40" s="154">
        <f t="shared" si="18"/>
        <v>11783.372799999997</v>
      </c>
      <c r="M40" s="154">
        <f t="shared" si="19"/>
        <v>11986.5344</v>
      </c>
      <c r="N40" s="154">
        <f t="shared" si="20"/>
        <v>12189.696</v>
      </c>
      <c r="O40" s="154">
        <f t="shared" si="21"/>
        <v>12392.857600000001</v>
      </c>
      <c r="Q40" s="6">
        <f>Site1!E59</f>
        <v>3286</v>
      </c>
      <c r="R40" s="6">
        <f>Site1!F59</f>
        <v>3351.72</v>
      </c>
      <c r="S40" s="6">
        <f>Site1!G59</f>
        <v>3417.44</v>
      </c>
      <c r="T40" s="6">
        <f>Site1!H59</f>
        <v>3483.16</v>
      </c>
      <c r="U40" s="6">
        <f>Site1!I59</f>
        <v>3548.88</v>
      </c>
      <c r="V40" s="6">
        <f>Site1!J59</f>
        <v>3614.6</v>
      </c>
      <c r="W40" s="6">
        <f>Site1!K59</f>
        <v>3680.32</v>
      </c>
      <c r="X40" s="6">
        <f>Site1!L59</f>
        <v>3746.0400000000009</v>
      </c>
      <c r="Y40" s="6">
        <f>Site1!M59</f>
        <v>3811.7599999999998</v>
      </c>
      <c r="Z40" s="6">
        <f>Site1!N59</f>
        <v>3877.48</v>
      </c>
      <c r="AA40" s="6">
        <f>Site1!O59</f>
        <v>3943.2</v>
      </c>
      <c r="AB40" s="6">
        <f>Site1!P59</f>
        <v>4008.92</v>
      </c>
      <c r="AD40" s="6">
        <f>Site2!E59</f>
        <v>1488</v>
      </c>
      <c r="AE40" s="6">
        <f>Site2!F59</f>
        <v>1897.2</v>
      </c>
      <c r="AF40" s="6">
        <f>Site2!G59</f>
        <v>1934.4</v>
      </c>
      <c r="AG40" s="6">
        <f>Site2!H59</f>
        <v>1971.6</v>
      </c>
      <c r="AH40" s="6">
        <f>Site2!I59</f>
        <v>2008.8</v>
      </c>
      <c r="AI40" s="6">
        <f>Site2!J59</f>
        <v>2046.0000000000005</v>
      </c>
      <c r="AJ40" s="6">
        <f>Site2!K59</f>
        <v>2083.2000000000003</v>
      </c>
      <c r="AK40" s="6">
        <f>Site2!L59</f>
        <v>2120.4000000000005</v>
      </c>
      <c r="AL40" s="6">
        <f>Site2!M59</f>
        <v>2157.5999999999995</v>
      </c>
      <c r="AM40" s="6">
        <f>Site2!N59</f>
        <v>2194.8000000000002</v>
      </c>
      <c r="AN40" s="6">
        <f>Site2!O59</f>
        <v>2232</v>
      </c>
      <c r="AO40" s="6">
        <f>Site2!P59</f>
        <v>2269.1999999999998</v>
      </c>
      <c r="AQ40" s="6">
        <f>Site3!E59</f>
        <v>548.08000000000004</v>
      </c>
      <c r="AR40" s="6">
        <f>Site3!F59</f>
        <v>559.0415999999999</v>
      </c>
      <c r="AS40" s="6">
        <f>Site3!G59</f>
        <v>570.00319999999999</v>
      </c>
      <c r="AT40" s="6">
        <f>Site3!H59</f>
        <v>580.96479999999997</v>
      </c>
      <c r="AU40" s="6">
        <f>Site3!I59</f>
        <v>591.92640000000006</v>
      </c>
      <c r="AV40" s="6">
        <f>Site3!J59</f>
        <v>602.88800000000003</v>
      </c>
      <c r="AW40" s="6">
        <f>Site3!K59</f>
        <v>613.84960000000001</v>
      </c>
      <c r="AX40" s="6">
        <f>Site3!L59</f>
        <v>624.81119999999999</v>
      </c>
      <c r="AY40" s="6">
        <f>Site3!M59</f>
        <v>635.77279999999996</v>
      </c>
      <c r="AZ40" s="6">
        <f>Site3!N59</f>
        <v>646.73439999999994</v>
      </c>
      <c r="BA40" s="6">
        <f>Site3!O59</f>
        <v>657.69600000000003</v>
      </c>
      <c r="BB40" s="6">
        <f>Site3!P59</f>
        <v>668.6576</v>
      </c>
      <c r="BD40" s="6">
        <f>Site4!E59</f>
        <v>279</v>
      </c>
      <c r="BE40" s="6">
        <f>Site4!F59</f>
        <v>1043.46</v>
      </c>
      <c r="BF40" s="6">
        <f>Site4!G59</f>
        <v>1547.52</v>
      </c>
      <c r="BG40" s="6">
        <f>Site4!H59</f>
        <v>1577.28</v>
      </c>
      <c r="BH40" s="6">
        <f>Site4!I59</f>
        <v>1607.04</v>
      </c>
      <c r="BI40" s="6">
        <f>Site4!J59</f>
        <v>1636.8000000000002</v>
      </c>
      <c r="BJ40" s="6">
        <f>Site4!K59</f>
        <v>1666.5600000000002</v>
      </c>
      <c r="BK40" s="6">
        <f>Site4!L59</f>
        <v>1696.3200000000002</v>
      </c>
      <c r="BL40" s="6">
        <f>Site4!M59</f>
        <v>1726.0799999999997</v>
      </c>
      <c r="BM40" s="6">
        <f>Site4!N59</f>
        <v>1755.84</v>
      </c>
      <c r="BN40" s="6">
        <f>Site4!O59</f>
        <v>1785.6</v>
      </c>
      <c r="BO40" s="6">
        <f>Site4!P59</f>
        <v>1815.36</v>
      </c>
      <c r="BQ40" s="6">
        <f>Site5!E59</f>
        <v>372</v>
      </c>
      <c r="BR40" s="6">
        <f>Site5!F59</f>
        <v>1138.32</v>
      </c>
      <c r="BS40" s="6">
        <f>Site5!G59</f>
        <v>1547.52</v>
      </c>
      <c r="BT40" s="6">
        <f>Site5!H59</f>
        <v>1577.28</v>
      </c>
      <c r="BU40" s="6">
        <f>Site5!I59</f>
        <v>1607.04</v>
      </c>
      <c r="BV40" s="6">
        <f>Site5!J59</f>
        <v>1636.8000000000002</v>
      </c>
      <c r="BW40" s="6">
        <f>Site5!K59</f>
        <v>1666.5600000000002</v>
      </c>
      <c r="BX40" s="6">
        <f>Site5!L59</f>
        <v>1696.3200000000002</v>
      </c>
      <c r="BY40" s="6">
        <f>Site5!M59</f>
        <v>1726.0799999999997</v>
      </c>
      <c r="BZ40" s="6">
        <f>Site5!N59</f>
        <v>1755.84</v>
      </c>
      <c r="CA40" s="6">
        <f>Site5!O59</f>
        <v>1785.6</v>
      </c>
      <c r="CB40" s="6">
        <f>Site5!P59</f>
        <v>1815.36</v>
      </c>
      <c r="CD40" s="6">
        <f>Site6!E59</f>
        <v>0</v>
      </c>
      <c r="CE40" s="6">
        <f>Site6!F59</f>
        <v>0</v>
      </c>
      <c r="CF40" s="6">
        <f>Site6!G59</f>
        <v>290.16000000000003</v>
      </c>
      <c r="CG40" s="6">
        <f>Site6!H59</f>
        <v>1084.3799999999999</v>
      </c>
      <c r="CH40" s="6">
        <f>Site6!I59</f>
        <v>1607.04</v>
      </c>
      <c r="CI40" s="6">
        <f>Site6!J59</f>
        <v>1636.8000000000002</v>
      </c>
      <c r="CJ40" s="6">
        <f>Site6!K59</f>
        <v>1666.5600000000002</v>
      </c>
      <c r="CK40" s="6">
        <f>Site6!L59</f>
        <v>1696.3200000000002</v>
      </c>
      <c r="CL40" s="6">
        <f>Site6!M59</f>
        <v>1726.0799999999997</v>
      </c>
      <c r="CM40" s="6">
        <f>Site6!N59</f>
        <v>1755.84</v>
      </c>
      <c r="CN40" s="6">
        <f>Site6!O59</f>
        <v>1785.6</v>
      </c>
      <c r="CO40" s="6">
        <f>Site6!P59</f>
        <v>1815.36</v>
      </c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s="2" customFormat="1" hidden="1" outlineLevel="2" x14ac:dyDescent="0.25">
      <c r="A41" s="18" t="s">
        <v>412</v>
      </c>
      <c r="B41" s="18" t="s">
        <v>420</v>
      </c>
      <c r="D41" s="154">
        <f t="shared" si="10"/>
        <v>9959.9948999999979</v>
      </c>
      <c r="E41" s="154">
        <f t="shared" si="11"/>
        <v>10684.670391</v>
      </c>
      <c r="F41" s="154">
        <f t="shared" si="12"/>
        <v>15887.336692500001</v>
      </c>
      <c r="G41" s="154">
        <f t="shared" si="13"/>
        <v>16192.862398124998</v>
      </c>
      <c r="H41" s="154">
        <f t="shared" si="14"/>
        <v>16498.38810375</v>
      </c>
      <c r="I41" s="154">
        <f t="shared" si="15"/>
        <v>16803.913809375001</v>
      </c>
      <c r="J41" s="154">
        <f t="shared" si="16"/>
        <v>17109.439515000002</v>
      </c>
      <c r="K41" s="154">
        <f t="shared" si="17"/>
        <v>22888.240004250005</v>
      </c>
      <c r="L41" s="154">
        <f t="shared" si="18"/>
        <v>28859.08522275</v>
      </c>
      <c r="M41" s="154">
        <f t="shared" si="19"/>
        <v>35021.975170499994</v>
      </c>
      <c r="N41" s="154">
        <f t="shared" si="20"/>
        <v>35615.567970000004</v>
      </c>
      <c r="O41" s="154">
        <f t="shared" si="21"/>
        <v>36209.160769499998</v>
      </c>
      <c r="Q41" s="6">
        <f>Site1!E60</f>
        <v>9959.9948999999979</v>
      </c>
      <c r="R41" s="6">
        <f>Site1!F60</f>
        <v>10684.670391</v>
      </c>
      <c r="S41" s="6">
        <f>Site1!G60</f>
        <v>10894.173732000001</v>
      </c>
      <c r="T41" s="6">
        <f>Site1!H60</f>
        <v>11103.677072999999</v>
      </c>
      <c r="U41" s="6">
        <f>Site1!I60</f>
        <v>11313.180414</v>
      </c>
      <c r="V41" s="6">
        <f>Site1!J60</f>
        <v>11522.683755000002</v>
      </c>
      <c r="W41" s="6">
        <f>Site1!K60</f>
        <v>11732.187096</v>
      </c>
      <c r="X41" s="6">
        <f>Site1!L60</f>
        <v>11941.690437000003</v>
      </c>
      <c r="Y41" s="6">
        <f>Site1!M60</f>
        <v>12151.193777999999</v>
      </c>
      <c r="Z41" s="6">
        <f>Site1!N60</f>
        <v>12360.697119</v>
      </c>
      <c r="AA41" s="6">
        <f>Site1!O60</f>
        <v>12570.200460000002</v>
      </c>
      <c r="AB41" s="6">
        <f>Site1!P60</f>
        <v>12779.703801</v>
      </c>
      <c r="AD41" s="6">
        <f>Site2!E60</f>
        <v>0</v>
      </c>
      <c r="AE41" s="6">
        <f>Site2!F60</f>
        <v>0</v>
      </c>
      <c r="AF41" s="6">
        <f>Site2!G60</f>
        <v>0</v>
      </c>
      <c r="AG41" s="6">
        <f>Site2!H60</f>
        <v>0</v>
      </c>
      <c r="AH41" s="6">
        <f>Site2!I60</f>
        <v>0</v>
      </c>
      <c r="AI41" s="6">
        <f>Site2!J60</f>
        <v>0</v>
      </c>
      <c r="AJ41" s="6">
        <f>Site2!K60</f>
        <v>0</v>
      </c>
      <c r="AK41" s="6">
        <f>Site2!L60</f>
        <v>0</v>
      </c>
      <c r="AL41" s="6">
        <f>Site2!M60</f>
        <v>0</v>
      </c>
      <c r="AM41" s="6">
        <f>Site2!N60</f>
        <v>0</v>
      </c>
      <c r="AN41" s="6">
        <f>Site2!O60</f>
        <v>0</v>
      </c>
      <c r="AO41" s="6">
        <f>Site2!P60</f>
        <v>0</v>
      </c>
      <c r="AQ41" s="6">
        <f>Site3!E60</f>
        <v>0</v>
      </c>
      <c r="AR41" s="6">
        <f>Site3!F60</f>
        <v>0</v>
      </c>
      <c r="AS41" s="6">
        <f>Site3!G60</f>
        <v>0</v>
      </c>
      <c r="AT41" s="6">
        <f>Site3!H60</f>
        <v>0</v>
      </c>
      <c r="AU41" s="6">
        <f>Site3!I60</f>
        <v>0</v>
      </c>
      <c r="AV41" s="6">
        <f>Site3!J60</f>
        <v>0</v>
      </c>
      <c r="AW41" s="6">
        <f>Site3!K60</f>
        <v>0</v>
      </c>
      <c r="AX41" s="6">
        <f>Site3!L60</f>
        <v>0</v>
      </c>
      <c r="AY41" s="6">
        <f>Site3!M60</f>
        <v>5569.2971482499997</v>
      </c>
      <c r="AZ41" s="6">
        <f>Site3!N60</f>
        <v>5665.3195128749994</v>
      </c>
      <c r="BA41" s="6">
        <f>Site3!O60</f>
        <v>5761.3418775000009</v>
      </c>
      <c r="BB41" s="6">
        <f>Site3!P60</f>
        <v>5857.3642421250006</v>
      </c>
      <c r="BD41" s="6">
        <f>Site4!E60</f>
        <v>0</v>
      </c>
      <c r="BE41" s="6">
        <f>Site4!F60</f>
        <v>0</v>
      </c>
      <c r="BF41" s="6">
        <f>Site4!G60</f>
        <v>0</v>
      </c>
      <c r="BG41" s="6">
        <f>Site4!H60</f>
        <v>0</v>
      </c>
      <c r="BH41" s="6">
        <f>Site4!I60</f>
        <v>0</v>
      </c>
      <c r="BI41" s="6">
        <f>Site4!J60</f>
        <v>0</v>
      </c>
      <c r="BJ41" s="6">
        <f>Site4!K60</f>
        <v>0</v>
      </c>
      <c r="BK41" s="6">
        <f>Site4!L60</f>
        <v>5473.274783625001</v>
      </c>
      <c r="BL41" s="6">
        <f>Site4!M60</f>
        <v>5569.2971482499997</v>
      </c>
      <c r="BM41" s="6">
        <f>Site4!N60</f>
        <v>5665.3195128749994</v>
      </c>
      <c r="BN41" s="6">
        <f>Site4!O60</f>
        <v>5761.3418775000009</v>
      </c>
      <c r="BO41" s="6">
        <f>Site4!P60</f>
        <v>5857.3642421250006</v>
      </c>
      <c r="BQ41" s="6">
        <f>Site5!E60</f>
        <v>0</v>
      </c>
      <c r="BR41" s="6">
        <f>Site5!F60</f>
        <v>0</v>
      </c>
      <c r="BS41" s="6">
        <f>Site5!G60</f>
        <v>4993.1629604999998</v>
      </c>
      <c r="BT41" s="6">
        <f>Site5!H60</f>
        <v>5089.1853251250004</v>
      </c>
      <c r="BU41" s="6">
        <f>Site5!I60</f>
        <v>5185.2076897500001</v>
      </c>
      <c r="BV41" s="6">
        <f>Site5!J60</f>
        <v>5281.2300543750007</v>
      </c>
      <c r="BW41" s="6">
        <f>Site5!K60</f>
        <v>5377.2524190000013</v>
      </c>
      <c r="BX41" s="6">
        <f>Site5!L60</f>
        <v>5473.274783625001</v>
      </c>
      <c r="BY41" s="6">
        <f>Site5!M60</f>
        <v>5569.2971482499997</v>
      </c>
      <c r="BZ41" s="6">
        <f>Site5!N60</f>
        <v>11330.639025749999</v>
      </c>
      <c r="CA41" s="6">
        <f>Site5!O60</f>
        <v>11522.683755000002</v>
      </c>
      <c r="CB41" s="6">
        <f>Site5!P60</f>
        <v>11714.728484250001</v>
      </c>
      <c r="CD41" s="6">
        <f>Site6!E60</f>
        <v>0</v>
      </c>
      <c r="CE41" s="6">
        <f>Site6!F60</f>
        <v>0</v>
      </c>
      <c r="CF41" s="6">
        <f>Site6!G60</f>
        <v>0</v>
      </c>
      <c r="CG41" s="6">
        <f>Site6!H60</f>
        <v>0</v>
      </c>
      <c r="CH41" s="6">
        <f>Site6!I60</f>
        <v>0</v>
      </c>
      <c r="CI41" s="6">
        <f>Site6!J60</f>
        <v>0</v>
      </c>
      <c r="CJ41" s="6">
        <f>Site6!K60</f>
        <v>0</v>
      </c>
      <c r="CK41" s="6">
        <f>Site6!L60</f>
        <v>0</v>
      </c>
      <c r="CL41" s="6">
        <f>Site6!M60</f>
        <v>0</v>
      </c>
      <c r="CM41" s="6">
        <f>Site6!N60</f>
        <v>0</v>
      </c>
      <c r="CN41" s="6">
        <f>Site6!O60</f>
        <v>0</v>
      </c>
      <c r="CO41" s="6">
        <f>Site6!P60</f>
        <v>0</v>
      </c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s="2" customFormat="1" hidden="1" outlineLevel="2" x14ac:dyDescent="0.25">
      <c r="A42" s="18" t="s">
        <v>413</v>
      </c>
      <c r="B42" s="18" t="s">
        <v>421</v>
      </c>
      <c r="D42" s="154">
        <f t="shared" si="10"/>
        <v>15225.980000000001</v>
      </c>
      <c r="E42" s="154">
        <f t="shared" si="11"/>
        <v>15946.495125000001</v>
      </c>
      <c r="F42" s="154">
        <f t="shared" si="12"/>
        <v>16259.171500000002</v>
      </c>
      <c r="G42" s="154">
        <f t="shared" si="13"/>
        <v>16571.847875000003</v>
      </c>
      <c r="H42" s="154">
        <f t="shared" si="14"/>
        <v>16884.524250000002</v>
      </c>
      <c r="I42" s="154">
        <f t="shared" si="15"/>
        <v>17197.200625000005</v>
      </c>
      <c r="J42" s="154">
        <f t="shared" si="16"/>
        <v>17509.877000000004</v>
      </c>
      <c r="K42" s="154">
        <f t="shared" si="17"/>
        <v>17822.553375000003</v>
      </c>
      <c r="L42" s="154">
        <f t="shared" si="18"/>
        <v>18135.229750000002</v>
      </c>
      <c r="M42" s="154">
        <f t="shared" si="19"/>
        <v>18447.906125000005</v>
      </c>
      <c r="N42" s="154">
        <f t="shared" si="20"/>
        <v>18760.582500000004</v>
      </c>
      <c r="O42" s="154">
        <f t="shared" si="21"/>
        <v>19073.258875000003</v>
      </c>
      <c r="Q42" s="6">
        <f>Site1!E61</f>
        <v>0</v>
      </c>
      <c r="R42" s="6">
        <f>Site1!F61</f>
        <v>0</v>
      </c>
      <c r="S42" s="6">
        <f>Site1!G61</f>
        <v>0</v>
      </c>
      <c r="T42" s="6">
        <f>Site1!H61</f>
        <v>0</v>
      </c>
      <c r="U42" s="6">
        <f>Site1!I61</f>
        <v>0</v>
      </c>
      <c r="V42" s="6">
        <f>Site1!J61</f>
        <v>0</v>
      </c>
      <c r="W42" s="6">
        <f>Site1!K61</f>
        <v>0</v>
      </c>
      <c r="X42" s="6">
        <f>Site1!L61</f>
        <v>0</v>
      </c>
      <c r="Y42" s="6">
        <f>Site1!M61</f>
        <v>0</v>
      </c>
      <c r="Z42" s="6">
        <f>Site1!N61</f>
        <v>0</v>
      </c>
      <c r="AA42" s="6">
        <f>Site1!O61</f>
        <v>0</v>
      </c>
      <c r="AB42" s="6">
        <f>Site1!P61</f>
        <v>0</v>
      </c>
      <c r="AD42" s="6">
        <f>Site2!E61</f>
        <v>15225.980000000001</v>
      </c>
      <c r="AE42" s="6">
        <f>Site2!F61</f>
        <v>15946.495125000001</v>
      </c>
      <c r="AF42" s="6">
        <f>Site2!G61</f>
        <v>16259.171500000002</v>
      </c>
      <c r="AG42" s="6">
        <f>Site2!H61</f>
        <v>16571.847875000003</v>
      </c>
      <c r="AH42" s="6">
        <f>Site2!I61</f>
        <v>16884.524250000002</v>
      </c>
      <c r="AI42" s="6">
        <f>Site2!J61</f>
        <v>17197.200625000005</v>
      </c>
      <c r="AJ42" s="6">
        <f>Site2!K61</f>
        <v>17509.877000000004</v>
      </c>
      <c r="AK42" s="6">
        <f>Site2!L61</f>
        <v>17822.553375000003</v>
      </c>
      <c r="AL42" s="6">
        <f>Site2!M61</f>
        <v>18135.229750000002</v>
      </c>
      <c r="AM42" s="6">
        <f>Site2!N61</f>
        <v>18447.906125000005</v>
      </c>
      <c r="AN42" s="6">
        <f>Site2!O61</f>
        <v>18760.582500000004</v>
      </c>
      <c r="AO42" s="6">
        <f>Site2!P61</f>
        <v>19073.258875000003</v>
      </c>
      <c r="AQ42" s="6">
        <f>Site3!E61</f>
        <v>0</v>
      </c>
      <c r="AR42" s="6">
        <f>Site3!F61</f>
        <v>0</v>
      </c>
      <c r="AS42" s="6">
        <f>Site3!G61</f>
        <v>0</v>
      </c>
      <c r="AT42" s="6">
        <f>Site3!H61</f>
        <v>0</v>
      </c>
      <c r="AU42" s="6">
        <f>Site3!I61</f>
        <v>0</v>
      </c>
      <c r="AV42" s="6">
        <f>Site3!J61</f>
        <v>0</v>
      </c>
      <c r="AW42" s="6">
        <f>Site3!K61</f>
        <v>0</v>
      </c>
      <c r="AX42" s="6">
        <f>Site3!L61</f>
        <v>0</v>
      </c>
      <c r="AY42" s="6">
        <f>Site3!M61</f>
        <v>0</v>
      </c>
      <c r="AZ42" s="6">
        <f>Site3!N61</f>
        <v>0</v>
      </c>
      <c r="BA42" s="6">
        <f>Site3!O61</f>
        <v>0</v>
      </c>
      <c r="BB42" s="6">
        <f>Site3!P61</f>
        <v>0</v>
      </c>
      <c r="BD42" s="6">
        <f>Site4!E61</f>
        <v>0</v>
      </c>
      <c r="BE42" s="6">
        <f>Site4!F61</f>
        <v>0</v>
      </c>
      <c r="BF42" s="6">
        <f>Site4!G61</f>
        <v>0</v>
      </c>
      <c r="BG42" s="6">
        <f>Site4!H61</f>
        <v>0</v>
      </c>
      <c r="BH42" s="6">
        <f>Site4!I61</f>
        <v>0</v>
      </c>
      <c r="BI42" s="6">
        <f>Site4!J61</f>
        <v>0</v>
      </c>
      <c r="BJ42" s="6">
        <f>Site4!K61</f>
        <v>0</v>
      </c>
      <c r="BK42" s="6">
        <f>Site4!L61</f>
        <v>0</v>
      </c>
      <c r="BL42" s="6">
        <f>Site4!M61</f>
        <v>0</v>
      </c>
      <c r="BM42" s="6">
        <f>Site4!N61</f>
        <v>0</v>
      </c>
      <c r="BN42" s="6">
        <f>Site4!O61</f>
        <v>0</v>
      </c>
      <c r="BO42" s="6">
        <f>Site4!P61</f>
        <v>0</v>
      </c>
      <c r="BQ42" s="6">
        <f>Site5!E61</f>
        <v>0</v>
      </c>
      <c r="BR42" s="6">
        <f>Site5!F61</f>
        <v>0</v>
      </c>
      <c r="BS42" s="6">
        <f>Site5!G61</f>
        <v>0</v>
      </c>
      <c r="BT42" s="6">
        <f>Site5!H61</f>
        <v>0</v>
      </c>
      <c r="BU42" s="6">
        <f>Site5!I61</f>
        <v>0</v>
      </c>
      <c r="BV42" s="6">
        <f>Site5!J61</f>
        <v>0</v>
      </c>
      <c r="BW42" s="6">
        <f>Site5!K61</f>
        <v>0</v>
      </c>
      <c r="BX42" s="6">
        <f>Site5!L61</f>
        <v>0</v>
      </c>
      <c r="BY42" s="6">
        <f>Site5!M61</f>
        <v>0</v>
      </c>
      <c r="BZ42" s="6">
        <f>Site5!N61</f>
        <v>0</v>
      </c>
      <c r="CA42" s="6">
        <f>Site5!O61</f>
        <v>0</v>
      </c>
      <c r="CB42" s="6">
        <f>Site5!P61</f>
        <v>0</v>
      </c>
      <c r="CD42" s="6">
        <f>Site6!E61</f>
        <v>0</v>
      </c>
      <c r="CE42" s="6">
        <f>Site6!F61</f>
        <v>0</v>
      </c>
      <c r="CF42" s="6">
        <f>Site6!G61</f>
        <v>0</v>
      </c>
      <c r="CG42" s="6">
        <f>Site6!H61</f>
        <v>0</v>
      </c>
      <c r="CH42" s="6">
        <f>Site6!I61</f>
        <v>0</v>
      </c>
      <c r="CI42" s="6">
        <f>Site6!J61</f>
        <v>0</v>
      </c>
      <c r="CJ42" s="6">
        <f>Site6!K61</f>
        <v>0</v>
      </c>
      <c r="CK42" s="6">
        <f>Site6!L61</f>
        <v>0</v>
      </c>
      <c r="CL42" s="6">
        <f>Site6!M61</f>
        <v>0</v>
      </c>
      <c r="CM42" s="6">
        <f>Site6!N61</f>
        <v>0</v>
      </c>
      <c r="CN42" s="6">
        <f>Site6!O61</f>
        <v>0</v>
      </c>
      <c r="CO42" s="6">
        <f>Site6!P61</f>
        <v>0</v>
      </c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s="2" customFormat="1" hidden="1" outlineLevel="1" x14ac:dyDescent="0.25">
      <c r="A43" s="18">
        <v>6231</v>
      </c>
      <c r="B43" s="18" t="s">
        <v>414</v>
      </c>
      <c r="D43" s="154">
        <f t="shared" si="10"/>
        <v>25185.974900000001</v>
      </c>
      <c r="E43" s="154">
        <f t="shared" si="11"/>
        <v>26631.165516000001</v>
      </c>
      <c r="F43" s="154">
        <f t="shared" si="12"/>
        <v>32146.508192500005</v>
      </c>
      <c r="G43" s="154">
        <f t="shared" si="13"/>
        <v>32764.710273125002</v>
      </c>
      <c r="H43" s="154">
        <f t="shared" si="14"/>
        <v>33382.912353750005</v>
      </c>
      <c r="I43" s="154">
        <f t="shared" si="15"/>
        <v>34001.114434375006</v>
      </c>
      <c r="J43" s="154">
        <f t="shared" si="16"/>
        <v>34619.316515000006</v>
      </c>
      <c r="K43" s="154">
        <f t="shared" si="17"/>
        <v>40710.793379250004</v>
      </c>
      <c r="L43" s="154">
        <f t="shared" si="18"/>
        <v>46994.314972749999</v>
      </c>
      <c r="M43" s="154">
        <f t="shared" si="19"/>
        <v>53469.881295500003</v>
      </c>
      <c r="N43" s="154">
        <f t="shared" si="20"/>
        <v>54376.150470000008</v>
      </c>
      <c r="O43" s="154">
        <f t="shared" si="21"/>
        <v>55282.419644500005</v>
      </c>
      <c r="Q43" s="6">
        <f>Site1!E62</f>
        <v>9959.9948999999979</v>
      </c>
      <c r="R43" s="6">
        <f>Site1!F62</f>
        <v>10684.670391</v>
      </c>
      <c r="S43" s="6">
        <f>Site1!G62</f>
        <v>10894.173732000001</v>
      </c>
      <c r="T43" s="6">
        <f>Site1!H62</f>
        <v>11103.677072999999</v>
      </c>
      <c r="U43" s="6">
        <f>Site1!I62</f>
        <v>11313.180414</v>
      </c>
      <c r="V43" s="6">
        <f>Site1!J62</f>
        <v>11522.683755000002</v>
      </c>
      <c r="W43" s="6">
        <f>Site1!K62</f>
        <v>11732.187096</v>
      </c>
      <c r="X43" s="6">
        <f>Site1!L62</f>
        <v>11941.690437000003</v>
      </c>
      <c r="Y43" s="6">
        <f>Site1!M62</f>
        <v>12151.193777999999</v>
      </c>
      <c r="Z43" s="6">
        <f>Site1!N62</f>
        <v>12360.697119</v>
      </c>
      <c r="AA43" s="6">
        <f>Site1!O62</f>
        <v>12570.200460000002</v>
      </c>
      <c r="AB43" s="6">
        <f>Site1!P62</f>
        <v>12779.703801</v>
      </c>
      <c r="AD43" s="6">
        <f>Site2!E62</f>
        <v>15225.980000000001</v>
      </c>
      <c r="AE43" s="6">
        <f>Site2!F62</f>
        <v>15946.495125000001</v>
      </c>
      <c r="AF43" s="6">
        <f>Site2!G62</f>
        <v>16259.171500000002</v>
      </c>
      <c r="AG43" s="6">
        <f>Site2!H62</f>
        <v>16571.847875000003</v>
      </c>
      <c r="AH43" s="6">
        <f>Site2!I62</f>
        <v>16884.524250000002</v>
      </c>
      <c r="AI43" s="6">
        <f>Site2!J62</f>
        <v>17197.200625000005</v>
      </c>
      <c r="AJ43" s="6">
        <f>Site2!K62</f>
        <v>17509.877000000004</v>
      </c>
      <c r="AK43" s="6">
        <f>Site2!L62</f>
        <v>17822.553375000003</v>
      </c>
      <c r="AL43" s="6">
        <f>Site2!M62</f>
        <v>18135.229750000002</v>
      </c>
      <c r="AM43" s="6">
        <f>Site2!N62</f>
        <v>18447.906125000005</v>
      </c>
      <c r="AN43" s="6">
        <f>Site2!O62</f>
        <v>18760.582500000004</v>
      </c>
      <c r="AO43" s="6">
        <f>Site2!P62</f>
        <v>19073.258875000003</v>
      </c>
      <c r="AQ43" s="6">
        <f>Site3!E62</f>
        <v>0</v>
      </c>
      <c r="AR43" s="6">
        <f>Site3!F62</f>
        <v>0</v>
      </c>
      <c r="AS43" s="6">
        <f>Site3!G62</f>
        <v>0</v>
      </c>
      <c r="AT43" s="6">
        <f>Site3!H62</f>
        <v>0</v>
      </c>
      <c r="AU43" s="6">
        <f>Site3!I62</f>
        <v>0</v>
      </c>
      <c r="AV43" s="6">
        <f>Site3!J62</f>
        <v>0</v>
      </c>
      <c r="AW43" s="6">
        <f>Site3!K62</f>
        <v>0</v>
      </c>
      <c r="AX43" s="6">
        <f>Site3!L62</f>
        <v>0</v>
      </c>
      <c r="AY43" s="6">
        <f>Site3!M62</f>
        <v>5569.2971482499997</v>
      </c>
      <c r="AZ43" s="6">
        <f>Site3!N62</f>
        <v>5665.3195128749994</v>
      </c>
      <c r="BA43" s="6">
        <f>Site3!O62</f>
        <v>5761.3418775000009</v>
      </c>
      <c r="BB43" s="6">
        <f>Site3!P62</f>
        <v>5857.3642421250006</v>
      </c>
      <c r="BD43" s="6">
        <f>Site4!E62</f>
        <v>0</v>
      </c>
      <c r="BE43" s="6">
        <f>Site4!F62</f>
        <v>0</v>
      </c>
      <c r="BF43" s="6">
        <f>Site4!G62</f>
        <v>0</v>
      </c>
      <c r="BG43" s="6">
        <f>Site4!H62</f>
        <v>0</v>
      </c>
      <c r="BH43" s="6">
        <f>Site4!I62</f>
        <v>0</v>
      </c>
      <c r="BI43" s="6">
        <f>Site4!J62</f>
        <v>0</v>
      </c>
      <c r="BJ43" s="6">
        <f>Site4!K62</f>
        <v>0</v>
      </c>
      <c r="BK43" s="6">
        <f>Site4!L62</f>
        <v>5473.274783625001</v>
      </c>
      <c r="BL43" s="6">
        <f>Site4!M62</f>
        <v>5569.2971482499997</v>
      </c>
      <c r="BM43" s="6">
        <f>Site4!N62</f>
        <v>5665.3195128749994</v>
      </c>
      <c r="BN43" s="6">
        <f>Site4!O62</f>
        <v>5761.3418775000009</v>
      </c>
      <c r="BO43" s="6">
        <f>Site4!P62</f>
        <v>5857.3642421250006</v>
      </c>
      <c r="BQ43" s="6">
        <f>Site5!E62</f>
        <v>0</v>
      </c>
      <c r="BR43" s="6">
        <f>Site5!F62</f>
        <v>0</v>
      </c>
      <c r="BS43" s="6">
        <f>Site5!G62</f>
        <v>4993.1629604999998</v>
      </c>
      <c r="BT43" s="6">
        <f>Site5!H62</f>
        <v>5089.1853251250004</v>
      </c>
      <c r="BU43" s="6">
        <f>Site5!I62</f>
        <v>5185.2076897500001</v>
      </c>
      <c r="BV43" s="6">
        <f>Site5!J62</f>
        <v>5281.2300543750007</v>
      </c>
      <c r="BW43" s="6">
        <f>Site5!K62</f>
        <v>5377.2524190000013</v>
      </c>
      <c r="BX43" s="6">
        <f>Site5!L62</f>
        <v>5473.274783625001</v>
      </c>
      <c r="BY43" s="6">
        <f>Site5!M62</f>
        <v>5569.2971482499997</v>
      </c>
      <c r="BZ43" s="6">
        <f>Site5!N62</f>
        <v>11330.639025749999</v>
      </c>
      <c r="CA43" s="6">
        <f>Site5!O62</f>
        <v>11522.683755000002</v>
      </c>
      <c r="CB43" s="6">
        <f>Site5!P62</f>
        <v>11714.728484250001</v>
      </c>
      <c r="CD43" s="6">
        <f>Site6!E62</f>
        <v>0</v>
      </c>
      <c r="CE43" s="6">
        <f>Site6!F62</f>
        <v>0</v>
      </c>
      <c r="CF43" s="6">
        <f>Site6!G62</f>
        <v>0</v>
      </c>
      <c r="CG43" s="6">
        <f>Site6!H62</f>
        <v>0</v>
      </c>
      <c r="CH43" s="6">
        <f>Site6!I62</f>
        <v>0</v>
      </c>
      <c r="CI43" s="6">
        <f>Site6!J62</f>
        <v>0</v>
      </c>
      <c r="CJ43" s="6">
        <f>Site6!K62</f>
        <v>0</v>
      </c>
      <c r="CK43" s="6">
        <f>Site6!L62</f>
        <v>0</v>
      </c>
      <c r="CL43" s="6">
        <f>Site6!M62</f>
        <v>0</v>
      </c>
      <c r="CM43" s="6">
        <f>Site6!N62</f>
        <v>0</v>
      </c>
      <c r="CN43" s="6">
        <f>Site6!O62</f>
        <v>0</v>
      </c>
      <c r="CO43" s="6">
        <f>Site6!P62</f>
        <v>0</v>
      </c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s="2" customFormat="1" hidden="1" outlineLevel="2" x14ac:dyDescent="0.25">
      <c r="A44" s="18" t="s">
        <v>415</v>
      </c>
      <c r="B44" s="18" t="s">
        <v>498</v>
      </c>
      <c r="D44" s="154">
        <f t="shared" si="10"/>
        <v>0</v>
      </c>
      <c r="E44" s="154">
        <f t="shared" si="11"/>
        <v>0</v>
      </c>
      <c r="F44" s="154">
        <f t="shared" si="12"/>
        <v>0</v>
      </c>
      <c r="G44" s="154">
        <f t="shared" si="13"/>
        <v>0</v>
      </c>
      <c r="H44" s="154">
        <f t="shared" si="14"/>
        <v>0</v>
      </c>
      <c r="I44" s="154">
        <f t="shared" si="15"/>
        <v>0</v>
      </c>
      <c r="J44" s="154">
        <f t="shared" si="16"/>
        <v>0</v>
      </c>
      <c r="K44" s="154">
        <f t="shared" si="17"/>
        <v>0</v>
      </c>
      <c r="L44" s="154">
        <f t="shared" si="18"/>
        <v>0</v>
      </c>
      <c r="M44" s="154">
        <f t="shared" si="19"/>
        <v>0</v>
      </c>
      <c r="N44" s="154">
        <f t="shared" si="20"/>
        <v>0</v>
      </c>
      <c r="O44" s="154">
        <f t="shared" si="21"/>
        <v>0</v>
      </c>
      <c r="Q44" s="6">
        <f>Site1!E63</f>
        <v>0</v>
      </c>
      <c r="R44" s="6">
        <f>Site1!F63</f>
        <v>0</v>
      </c>
      <c r="S44" s="6">
        <f>Site1!G63</f>
        <v>0</v>
      </c>
      <c r="T44" s="6">
        <f>Site1!H63</f>
        <v>0</v>
      </c>
      <c r="U44" s="6">
        <f>Site1!I63</f>
        <v>0</v>
      </c>
      <c r="V44" s="6">
        <f>Site1!J63</f>
        <v>0</v>
      </c>
      <c r="W44" s="6">
        <f>Site1!K63</f>
        <v>0</v>
      </c>
      <c r="X44" s="6">
        <f>Site1!L63</f>
        <v>0</v>
      </c>
      <c r="Y44" s="6">
        <f>Site1!M63</f>
        <v>0</v>
      </c>
      <c r="Z44" s="6">
        <f>Site1!N63</f>
        <v>0</v>
      </c>
      <c r="AA44" s="6">
        <f>Site1!O63</f>
        <v>0</v>
      </c>
      <c r="AB44" s="6">
        <f>Site1!P63</f>
        <v>0</v>
      </c>
      <c r="AD44" s="6">
        <f>Site2!E63</f>
        <v>0</v>
      </c>
      <c r="AE44" s="6">
        <f>Site2!F63</f>
        <v>0</v>
      </c>
      <c r="AF44" s="6">
        <f>Site2!G63</f>
        <v>0</v>
      </c>
      <c r="AG44" s="6">
        <f>Site2!H63</f>
        <v>0</v>
      </c>
      <c r="AH44" s="6">
        <f>Site2!I63</f>
        <v>0</v>
      </c>
      <c r="AI44" s="6">
        <f>Site2!J63</f>
        <v>0</v>
      </c>
      <c r="AJ44" s="6">
        <f>Site2!K63</f>
        <v>0</v>
      </c>
      <c r="AK44" s="6">
        <f>Site2!L63</f>
        <v>0</v>
      </c>
      <c r="AL44" s="6">
        <f>Site2!M63</f>
        <v>0</v>
      </c>
      <c r="AM44" s="6">
        <f>Site2!N63</f>
        <v>0</v>
      </c>
      <c r="AN44" s="6">
        <f>Site2!O63</f>
        <v>0</v>
      </c>
      <c r="AO44" s="6">
        <f>Site2!P63</f>
        <v>0</v>
      </c>
      <c r="AQ44" s="6">
        <f>Site3!E63</f>
        <v>0</v>
      </c>
      <c r="AR44" s="6">
        <f>Site3!F63</f>
        <v>0</v>
      </c>
      <c r="AS44" s="6">
        <f>Site3!G63</f>
        <v>0</v>
      </c>
      <c r="AT44" s="6">
        <f>Site3!H63</f>
        <v>0</v>
      </c>
      <c r="AU44" s="6">
        <f>Site3!I63</f>
        <v>0</v>
      </c>
      <c r="AV44" s="6">
        <f>Site3!J63</f>
        <v>0</v>
      </c>
      <c r="AW44" s="6">
        <f>Site3!K63</f>
        <v>0</v>
      </c>
      <c r="AX44" s="6">
        <f>Site3!L63</f>
        <v>0</v>
      </c>
      <c r="AY44" s="6">
        <f>Site3!M63</f>
        <v>0</v>
      </c>
      <c r="AZ44" s="6">
        <f>Site3!N63</f>
        <v>0</v>
      </c>
      <c r="BA44" s="6">
        <f>Site3!O63</f>
        <v>0</v>
      </c>
      <c r="BB44" s="6">
        <f>Site3!P63</f>
        <v>0</v>
      </c>
      <c r="BD44" s="6">
        <f>Site4!E63</f>
        <v>0</v>
      </c>
      <c r="BE44" s="6">
        <f>Site4!F63</f>
        <v>0</v>
      </c>
      <c r="BF44" s="6">
        <f>Site4!G63</f>
        <v>0</v>
      </c>
      <c r="BG44" s="6">
        <f>Site4!H63</f>
        <v>0</v>
      </c>
      <c r="BH44" s="6">
        <f>Site4!I63</f>
        <v>0</v>
      </c>
      <c r="BI44" s="6">
        <f>Site4!J63</f>
        <v>0</v>
      </c>
      <c r="BJ44" s="6">
        <f>Site4!K63</f>
        <v>0</v>
      </c>
      <c r="BK44" s="6">
        <f>Site4!L63</f>
        <v>0</v>
      </c>
      <c r="BL44" s="6">
        <f>Site4!M63</f>
        <v>0</v>
      </c>
      <c r="BM44" s="6">
        <f>Site4!N63</f>
        <v>0</v>
      </c>
      <c r="BN44" s="6">
        <f>Site4!O63</f>
        <v>0</v>
      </c>
      <c r="BO44" s="6">
        <f>Site4!P63</f>
        <v>0</v>
      </c>
      <c r="BQ44" s="6">
        <f>Site5!E63</f>
        <v>0</v>
      </c>
      <c r="BR44" s="6">
        <f>Site5!F63</f>
        <v>0</v>
      </c>
      <c r="BS44" s="6">
        <f>Site5!G63</f>
        <v>0</v>
      </c>
      <c r="BT44" s="6">
        <f>Site5!H63</f>
        <v>0</v>
      </c>
      <c r="BU44" s="6">
        <f>Site5!I63</f>
        <v>0</v>
      </c>
      <c r="BV44" s="6">
        <f>Site5!J63</f>
        <v>0</v>
      </c>
      <c r="BW44" s="6">
        <f>Site5!K63</f>
        <v>0</v>
      </c>
      <c r="BX44" s="6">
        <f>Site5!L63</f>
        <v>0</v>
      </c>
      <c r="BY44" s="6">
        <f>Site5!M63</f>
        <v>0</v>
      </c>
      <c r="BZ44" s="6">
        <f>Site5!N63</f>
        <v>0</v>
      </c>
      <c r="CA44" s="6">
        <f>Site5!O63</f>
        <v>0</v>
      </c>
      <c r="CB44" s="6">
        <f>Site5!P63</f>
        <v>0</v>
      </c>
      <c r="CD44" s="6">
        <f>Site6!E63</f>
        <v>0</v>
      </c>
      <c r="CE44" s="6">
        <f>Site6!F63</f>
        <v>0</v>
      </c>
      <c r="CF44" s="6">
        <f>Site6!G63</f>
        <v>0</v>
      </c>
      <c r="CG44" s="6">
        <f>Site6!H63</f>
        <v>0</v>
      </c>
      <c r="CH44" s="6">
        <f>Site6!I63</f>
        <v>0</v>
      </c>
      <c r="CI44" s="6">
        <f>Site6!J63</f>
        <v>0</v>
      </c>
      <c r="CJ44" s="6">
        <f>Site6!K63</f>
        <v>0</v>
      </c>
      <c r="CK44" s="6">
        <f>Site6!L63</f>
        <v>0</v>
      </c>
      <c r="CL44" s="6">
        <f>Site6!M63</f>
        <v>0</v>
      </c>
      <c r="CM44" s="6">
        <f>Site6!N63</f>
        <v>0</v>
      </c>
      <c r="CN44" s="6">
        <f>Site6!O63</f>
        <v>0</v>
      </c>
      <c r="CO44" s="6">
        <f>Site6!P63</f>
        <v>0</v>
      </c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s="2" customFormat="1" hidden="1" outlineLevel="2" x14ac:dyDescent="0.25">
      <c r="A45" s="18" t="s">
        <v>416</v>
      </c>
      <c r="B45" s="18" t="s">
        <v>497</v>
      </c>
      <c r="D45" s="154">
        <f t="shared" si="10"/>
        <v>120423.66</v>
      </c>
      <c r="E45" s="154">
        <f t="shared" si="11"/>
        <v>126122.27962500002</v>
      </c>
      <c r="F45" s="154">
        <f t="shared" si="12"/>
        <v>153723.07600000003</v>
      </c>
      <c r="G45" s="154">
        <f t="shared" si="13"/>
        <v>156679.28899999999</v>
      </c>
      <c r="H45" s="154">
        <f t="shared" si="14"/>
        <v>159635.50200000004</v>
      </c>
      <c r="I45" s="154">
        <f t="shared" si="15"/>
        <v>162591.71500000005</v>
      </c>
      <c r="J45" s="154">
        <f t="shared" si="16"/>
        <v>165547.92800000004</v>
      </c>
      <c r="K45" s="154">
        <f t="shared" si="17"/>
        <v>168504.14100000003</v>
      </c>
      <c r="L45" s="154">
        <f t="shared" si="18"/>
        <v>171460.35400000002</v>
      </c>
      <c r="M45" s="154">
        <f t="shared" si="19"/>
        <v>174416.56700000001</v>
      </c>
      <c r="N45" s="154">
        <f t="shared" si="20"/>
        <v>177372.78000000003</v>
      </c>
      <c r="O45" s="154">
        <f t="shared" si="21"/>
        <v>180328.99300000002</v>
      </c>
      <c r="Q45" s="6">
        <f>Site1!E64</f>
        <v>23531.06</v>
      </c>
      <c r="R45" s="6">
        <f>Site1!F64</f>
        <v>24644.583375000006</v>
      </c>
      <c r="S45" s="6">
        <f>Site1!G64</f>
        <v>25127.810500000003</v>
      </c>
      <c r="T45" s="6">
        <f>Site1!H64</f>
        <v>25611.037625000001</v>
      </c>
      <c r="U45" s="6">
        <f>Site1!I64</f>
        <v>26094.264750000006</v>
      </c>
      <c r="V45" s="6">
        <f>Site1!J64</f>
        <v>26577.491875000007</v>
      </c>
      <c r="W45" s="6">
        <f>Site1!K64</f>
        <v>27060.719000000008</v>
      </c>
      <c r="X45" s="6">
        <f>Site1!L64</f>
        <v>27543.946125000006</v>
      </c>
      <c r="Y45" s="6">
        <f>Site1!M64</f>
        <v>28027.173250000003</v>
      </c>
      <c r="Z45" s="6">
        <f>Site1!N64</f>
        <v>28510.400375000005</v>
      </c>
      <c r="AA45" s="6">
        <f>Site1!O64</f>
        <v>28993.627500000006</v>
      </c>
      <c r="AB45" s="6">
        <f>Site1!P64</f>
        <v>29476.854625000004</v>
      </c>
      <c r="AD45" s="6">
        <f>Site2!E64</f>
        <v>24915.24</v>
      </c>
      <c r="AE45" s="6">
        <f>Site2!F64</f>
        <v>26094.264750000006</v>
      </c>
      <c r="AF45" s="6">
        <f>Site2!G64</f>
        <v>26605.917000000005</v>
      </c>
      <c r="AG45" s="6">
        <f>Site2!H64</f>
        <v>27117.56925</v>
      </c>
      <c r="AH45" s="6">
        <f>Site2!I64</f>
        <v>27629.221500000003</v>
      </c>
      <c r="AI45" s="6">
        <f>Site2!J64</f>
        <v>28140.87375000001</v>
      </c>
      <c r="AJ45" s="6">
        <f>Site2!K64</f>
        <v>28652.526000000009</v>
      </c>
      <c r="AK45" s="6">
        <f>Site2!L64</f>
        <v>29164.178250000004</v>
      </c>
      <c r="AL45" s="6">
        <f>Site2!M64</f>
        <v>29675.830500000004</v>
      </c>
      <c r="AM45" s="6">
        <f>Site2!N64</f>
        <v>30187.482750000003</v>
      </c>
      <c r="AN45" s="6">
        <f>Site2!O64</f>
        <v>30699.135000000006</v>
      </c>
      <c r="AO45" s="6">
        <f>Site2!P64</f>
        <v>31210.787250000005</v>
      </c>
      <c r="AQ45" s="6">
        <f>Site3!E64</f>
        <v>23531.06</v>
      </c>
      <c r="AR45" s="6">
        <f>Site3!F64</f>
        <v>24644.583375000006</v>
      </c>
      <c r="AS45" s="6">
        <f>Site3!G64</f>
        <v>25127.810500000003</v>
      </c>
      <c r="AT45" s="6">
        <f>Site3!H64</f>
        <v>25611.037625000001</v>
      </c>
      <c r="AU45" s="6">
        <f>Site3!I64</f>
        <v>26094.264750000006</v>
      </c>
      <c r="AV45" s="6">
        <f>Site3!J64</f>
        <v>26577.491875000007</v>
      </c>
      <c r="AW45" s="6">
        <f>Site3!K64</f>
        <v>27060.719000000008</v>
      </c>
      <c r="AX45" s="6">
        <f>Site3!L64</f>
        <v>27543.946125000006</v>
      </c>
      <c r="AY45" s="6">
        <f>Site3!M64</f>
        <v>28027.173250000003</v>
      </c>
      <c r="AZ45" s="6">
        <f>Site3!N64</f>
        <v>28510.400375000005</v>
      </c>
      <c r="BA45" s="6">
        <f>Site3!O64</f>
        <v>28993.627500000006</v>
      </c>
      <c r="BB45" s="6">
        <f>Site3!P64</f>
        <v>29476.854625000004</v>
      </c>
      <c r="BD45" s="6">
        <f>Site4!E64</f>
        <v>23531.06</v>
      </c>
      <c r="BE45" s="6">
        <f>Site4!F64</f>
        <v>24644.583375000006</v>
      </c>
      <c r="BF45" s="6">
        <f>Site4!G64</f>
        <v>25127.810500000003</v>
      </c>
      <c r="BG45" s="6">
        <f>Site4!H64</f>
        <v>25611.037625000001</v>
      </c>
      <c r="BH45" s="6">
        <f>Site4!I64</f>
        <v>26094.264750000006</v>
      </c>
      <c r="BI45" s="6">
        <f>Site4!J64</f>
        <v>26577.491875000007</v>
      </c>
      <c r="BJ45" s="6">
        <f>Site4!K64</f>
        <v>27060.719000000008</v>
      </c>
      <c r="BK45" s="6">
        <f>Site4!L64</f>
        <v>27543.946125000006</v>
      </c>
      <c r="BL45" s="6">
        <f>Site4!M64</f>
        <v>28027.173250000003</v>
      </c>
      <c r="BM45" s="6">
        <f>Site4!N64</f>
        <v>28510.400375000005</v>
      </c>
      <c r="BN45" s="6">
        <f>Site4!O64</f>
        <v>28993.627500000006</v>
      </c>
      <c r="BO45" s="6">
        <f>Site4!P64</f>
        <v>29476.854625000004</v>
      </c>
      <c r="BQ45" s="6">
        <f>Site5!E64</f>
        <v>24915.24</v>
      </c>
      <c r="BR45" s="6">
        <f>Site5!F64</f>
        <v>26094.264750000006</v>
      </c>
      <c r="BS45" s="6">
        <f>Site5!G64</f>
        <v>26605.917000000005</v>
      </c>
      <c r="BT45" s="6">
        <f>Site5!H64</f>
        <v>27117.56925</v>
      </c>
      <c r="BU45" s="6">
        <f>Site5!I64</f>
        <v>27629.221500000003</v>
      </c>
      <c r="BV45" s="6">
        <f>Site5!J64</f>
        <v>28140.87375000001</v>
      </c>
      <c r="BW45" s="6">
        <f>Site5!K64</f>
        <v>28652.526000000009</v>
      </c>
      <c r="BX45" s="6">
        <f>Site5!L64</f>
        <v>29164.178250000004</v>
      </c>
      <c r="BY45" s="6">
        <f>Site5!M64</f>
        <v>29675.830500000004</v>
      </c>
      <c r="BZ45" s="6">
        <f>Site5!N64</f>
        <v>30187.482750000003</v>
      </c>
      <c r="CA45" s="6">
        <f>Site5!O64</f>
        <v>30699.135000000006</v>
      </c>
      <c r="CB45" s="6">
        <f>Site5!P64</f>
        <v>31210.787250000005</v>
      </c>
      <c r="CD45" s="6">
        <f>Site6!E64</f>
        <v>0</v>
      </c>
      <c r="CE45" s="6">
        <f>Site6!F64</f>
        <v>0</v>
      </c>
      <c r="CF45" s="6">
        <f>Site6!G64</f>
        <v>25127.810500000003</v>
      </c>
      <c r="CG45" s="6">
        <f>Site6!H64</f>
        <v>25611.037625000001</v>
      </c>
      <c r="CH45" s="6">
        <f>Site6!I64</f>
        <v>26094.264750000006</v>
      </c>
      <c r="CI45" s="6">
        <f>Site6!J64</f>
        <v>26577.491875000007</v>
      </c>
      <c r="CJ45" s="6">
        <f>Site6!K64</f>
        <v>27060.719000000008</v>
      </c>
      <c r="CK45" s="6">
        <f>Site6!L64</f>
        <v>27543.946125000006</v>
      </c>
      <c r="CL45" s="6">
        <f>Site6!M64</f>
        <v>28027.173250000003</v>
      </c>
      <c r="CM45" s="6">
        <f>Site6!N64</f>
        <v>28510.400375000005</v>
      </c>
      <c r="CN45" s="6">
        <f>Site6!O64</f>
        <v>28993.627500000006</v>
      </c>
      <c r="CO45" s="6">
        <f>Site6!P64</f>
        <v>29476.854625000004</v>
      </c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s="2" customFormat="1" hidden="1" outlineLevel="1" x14ac:dyDescent="0.25">
      <c r="A46" s="18">
        <v>6234</v>
      </c>
      <c r="B46" s="18" t="s">
        <v>575</v>
      </c>
      <c r="D46" s="154">
        <f t="shared" si="10"/>
        <v>120423.66</v>
      </c>
      <c r="E46" s="154">
        <f t="shared" si="11"/>
        <v>126122.27962500002</v>
      </c>
      <c r="F46" s="154">
        <f t="shared" si="12"/>
        <v>153723.07600000003</v>
      </c>
      <c r="G46" s="154">
        <f t="shared" si="13"/>
        <v>156679.28899999999</v>
      </c>
      <c r="H46" s="154">
        <f t="shared" si="14"/>
        <v>159635.50200000004</v>
      </c>
      <c r="I46" s="154">
        <f t="shared" si="15"/>
        <v>162591.71500000005</v>
      </c>
      <c r="J46" s="154">
        <f t="shared" si="16"/>
        <v>165547.92800000004</v>
      </c>
      <c r="K46" s="154">
        <f t="shared" si="17"/>
        <v>168504.14100000003</v>
      </c>
      <c r="L46" s="154">
        <f t="shared" si="18"/>
        <v>171460.35400000002</v>
      </c>
      <c r="M46" s="154">
        <f t="shared" si="19"/>
        <v>174416.56700000001</v>
      </c>
      <c r="N46" s="154">
        <f t="shared" si="20"/>
        <v>177372.78000000003</v>
      </c>
      <c r="O46" s="154">
        <f t="shared" si="21"/>
        <v>180328.99300000002</v>
      </c>
      <c r="Q46" s="6">
        <f>Site1!E65</f>
        <v>23531.06</v>
      </c>
      <c r="R46" s="6">
        <f>Site1!F65</f>
        <v>24644.583375000006</v>
      </c>
      <c r="S46" s="6">
        <f>Site1!G65</f>
        <v>25127.810500000003</v>
      </c>
      <c r="T46" s="6">
        <f>Site1!H65</f>
        <v>25611.037625000001</v>
      </c>
      <c r="U46" s="6">
        <f>Site1!I65</f>
        <v>26094.264750000006</v>
      </c>
      <c r="V46" s="6">
        <f>Site1!J65</f>
        <v>26577.491875000007</v>
      </c>
      <c r="W46" s="6">
        <f>Site1!K65</f>
        <v>27060.719000000008</v>
      </c>
      <c r="X46" s="6">
        <f>Site1!L65</f>
        <v>27543.946125000006</v>
      </c>
      <c r="Y46" s="6">
        <f>Site1!M65</f>
        <v>28027.173250000003</v>
      </c>
      <c r="Z46" s="6">
        <f>Site1!N65</f>
        <v>28510.400375000005</v>
      </c>
      <c r="AA46" s="6">
        <f>Site1!O65</f>
        <v>28993.627500000006</v>
      </c>
      <c r="AB46" s="6">
        <f>Site1!P65</f>
        <v>29476.854625000004</v>
      </c>
      <c r="AD46" s="6">
        <f>Site2!E65</f>
        <v>24915.24</v>
      </c>
      <c r="AE46" s="6">
        <f>Site2!F65</f>
        <v>26094.264750000006</v>
      </c>
      <c r="AF46" s="6">
        <f>Site2!G65</f>
        <v>26605.917000000005</v>
      </c>
      <c r="AG46" s="6">
        <f>Site2!H65</f>
        <v>27117.56925</v>
      </c>
      <c r="AH46" s="6">
        <f>Site2!I65</f>
        <v>27629.221500000003</v>
      </c>
      <c r="AI46" s="6">
        <f>Site2!J65</f>
        <v>28140.87375000001</v>
      </c>
      <c r="AJ46" s="6">
        <f>Site2!K65</f>
        <v>28652.526000000009</v>
      </c>
      <c r="AK46" s="6">
        <f>Site2!L65</f>
        <v>29164.178250000004</v>
      </c>
      <c r="AL46" s="6">
        <f>Site2!M65</f>
        <v>29675.830500000004</v>
      </c>
      <c r="AM46" s="6">
        <f>Site2!N65</f>
        <v>30187.482750000003</v>
      </c>
      <c r="AN46" s="6">
        <f>Site2!O65</f>
        <v>30699.135000000006</v>
      </c>
      <c r="AO46" s="6">
        <f>Site2!P65</f>
        <v>31210.787250000005</v>
      </c>
      <c r="AQ46" s="6">
        <f>Site3!E65</f>
        <v>23531.06</v>
      </c>
      <c r="AR46" s="6">
        <f>Site3!F65</f>
        <v>24644.583375000006</v>
      </c>
      <c r="AS46" s="6">
        <f>Site3!G65</f>
        <v>25127.810500000003</v>
      </c>
      <c r="AT46" s="6">
        <f>Site3!H65</f>
        <v>25611.037625000001</v>
      </c>
      <c r="AU46" s="6">
        <f>Site3!I65</f>
        <v>26094.264750000006</v>
      </c>
      <c r="AV46" s="6">
        <f>Site3!J65</f>
        <v>26577.491875000007</v>
      </c>
      <c r="AW46" s="6">
        <f>Site3!K65</f>
        <v>27060.719000000008</v>
      </c>
      <c r="AX46" s="6">
        <f>Site3!L65</f>
        <v>27543.946125000006</v>
      </c>
      <c r="AY46" s="6">
        <f>Site3!M65</f>
        <v>28027.173250000003</v>
      </c>
      <c r="AZ46" s="6">
        <f>Site3!N65</f>
        <v>28510.400375000005</v>
      </c>
      <c r="BA46" s="6">
        <f>Site3!O65</f>
        <v>28993.627500000006</v>
      </c>
      <c r="BB46" s="6">
        <f>Site3!P65</f>
        <v>29476.854625000004</v>
      </c>
      <c r="BD46" s="6">
        <f>Site4!E65</f>
        <v>23531.06</v>
      </c>
      <c r="BE46" s="6">
        <f>Site4!F65</f>
        <v>24644.583375000006</v>
      </c>
      <c r="BF46" s="6">
        <f>Site4!G65</f>
        <v>25127.810500000003</v>
      </c>
      <c r="BG46" s="6">
        <f>Site4!H65</f>
        <v>25611.037625000001</v>
      </c>
      <c r="BH46" s="6">
        <f>Site4!I65</f>
        <v>26094.264750000006</v>
      </c>
      <c r="BI46" s="6">
        <f>Site4!J65</f>
        <v>26577.491875000007</v>
      </c>
      <c r="BJ46" s="6">
        <f>Site4!K65</f>
        <v>27060.719000000008</v>
      </c>
      <c r="BK46" s="6">
        <f>Site4!L65</f>
        <v>27543.946125000006</v>
      </c>
      <c r="BL46" s="6">
        <f>Site4!M65</f>
        <v>28027.173250000003</v>
      </c>
      <c r="BM46" s="6">
        <f>Site4!N65</f>
        <v>28510.400375000005</v>
      </c>
      <c r="BN46" s="6">
        <f>Site4!O65</f>
        <v>28993.627500000006</v>
      </c>
      <c r="BO46" s="6">
        <f>Site4!P65</f>
        <v>29476.854625000004</v>
      </c>
      <c r="BQ46" s="6">
        <f>Site5!E65</f>
        <v>24915.24</v>
      </c>
      <c r="BR46" s="6">
        <f>Site5!F65</f>
        <v>26094.264750000006</v>
      </c>
      <c r="BS46" s="6">
        <f>Site5!G65</f>
        <v>26605.917000000005</v>
      </c>
      <c r="BT46" s="6">
        <f>Site5!H65</f>
        <v>27117.56925</v>
      </c>
      <c r="BU46" s="6">
        <f>Site5!I65</f>
        <v>27629.221500000003</v>
      </c>
      <c r="BV46" s="6">
        <f>Site5!J65</f>
        <v>28140.87375000001</v>
      </c>
      <c r="BW46" s="6">
        <f>Site5!K65</f>
        <v>28652.526000000009</v>
      </c>
      <c r="BX46" s="6">
        <f>Site5!L65</f>
        <v>29164.178250000004</v>
      </c>
      <c r="BY46" s="6">
        <f>Site5!M65</f>
        <v>29675.830500000004</v>
      </c>
      <c r="BZ46" s="6">
        <f>Site5!N65</f>
        <v>30187.482750000003</v>
      </c>
      <c r="CA46" s="6">
        <f>Site5!O65</f>
        <v>30699.135000000006</v>
      </c>
      <c r="CB46" s="6">
        <f>Site5!P65</f>
        <v>31210.787250000005</v>
      </c>
      <c r="CD46" s="6">
        <f>Site6!E65</f>
        <v>0</v>
      </c>
      <c r="CE46" s="6">
        <f>Site6!F65</f>
        <v>0</v>
      </c>
      <c r="CF46" s="6">
        <f>Site6!G65</f>
        <v>25127.810500000003</v>
      </c>
      <c r="CG46" s="6">
        <f>Site6!H65</f>
        <v>25611.037625000001</v>
      </c>
      <c r="CH46" s="6">
        <f>Site6!I65</f>
        <v>26094.264750000006</v>
      </c>
      <c r="CI46" s="6">
        <f>Site6!J65</f>
        <v>26577.491875000007</v>
      </c>
      <c r="CJ46" s="6">
        <f>Site6!K65</f>
        <v>27060.719000000008</v>
      </c>
      <c r="CK46" s="6">
        <f>Site6!L65</f>
        <v>27543.946125000006</v>
      </c>
      <c r="CL46" s="6">
        <f>Site6!M65</f>
        <v>28027.173250000003</v>
      </c>
      <c r="CM46" s="6">
        <f>Site6!N65</f>
        <v>28510.400375000005</v>
      </c>
      <c r="CN46" s="6">
        <f>Site6!O65</f>
        <v>28993.627500000006</v>
      </c>
      <c r="CO46" s="6">
        <f>Site6!P65</f>
        <v>29476.854625000004</v>
      </c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2" customFormat="1" hidden="1" outlineLevel="2" x14ac:dyDescent="0.25">
      <c r="A47" s="18" t="s">
        <v>418</v>
      </c>
      <c r="B47" s="18" t="s">
        <v>495</v>
      </c>
      <c r="D47" s="154">
        <f t="shared" si="10"/>
        <v>19919.989799999999</v>
      </c>
      <c r="E47" s="154">
        <f t="shared" si="11"/>
        <v>35615.567969999996</v>
      </c>
      <c r="F47" s="154">
        <f t="shared" si="12"/>
        <v>36313.91244</v>
      </c>
      <c r="G47" s="154">
        <f t="shared" si="13"/>
        <v>44414.708291999996</v>
      </c>
      <c r="H47" s="154">
        <f t="shared" si="14"/>
        <v>45252.721656000002</v>
      </c>
      <c r="I47" s="154">
        <f t="shared" si="15"/>
        <v>46090.735020000007</v>
      </c>
      <c r="J47" s="154">
        <f t="shared" si="16"/>
        <v>46928.748384000006</v>
      </c>
      <c r="K47" s="154">
        <f t="shared" si="17"/>
        <v>47766.761748000004</v>
      </c>
      <c r="L47" s="154">
        <f t="shared" si="18"/>
        <v>48604.775112000003</v>
      </c>
      <c r="M47" s="154">
        <f t="shared" si="19"/>
        <v>49442.788475999994</v>
      </c>
      <c r="N47" s="154">
        <f t="shared" si="20"/>
        <v>50280.80184</v>
      </c>
      <c r="O47" s="154">
        <f t="shared" si="21"/>
        <v>51118.815204000006</v>
      </c>
      <c r="Q47" s="6">
        <f>Site1!E66</f>
        <v>6639.9965999999995</v>
      </c>
      <c r="R47" s="6">
        <f>Site1!F66</f>
        <v>7123.1135939999995</v>
      </c>
      <c r="S47" s="6">
        <f>Site1!G66</f>
        <v>7262.7824879999998</v>
      </c>
      <c r="T47" s="6">
        <f>Site1!H66</f>
        <v>7402.4513819999993</v>
      </c>
      <c r="U47" s="6">
        <f>Site1!I66</f>
        <v>7542.1202760000006</v>
      </c>
      <c r="V47" s="6">
        <f>Site1!J66</f>
        <v>7681.78917</v>
      </c>
      <c r="W47" s="6">
        <f>Site1!K66</f>
        <v>7821.4580640000013</v>
      </c>
      <c r="X47" s="6">
        <f>Site1!L66</f>
        <v>7961.1269580000007</v>
      </c>
      <c r="Y47" s="6">
        <f>Site1!M66</f>
        <v>8100.7958520000002</v>
      </c>
      <c r="Z47" s="6">
        <f>Site1!N66</f>
        <v>8240.4647459999996</v>
      </c>
      <c r="AA47" s="6">
        <f>Site1!O66</f>
        <v>8380.13364</v>
      </c>
      <c r="AB47" s="6">
        <f>Site1!P66</f>
        <v>8519.8025340000004</v>
      </c>
      <c r="AD47" s="6">
        <f>Site2!E66</f>
        <v>6639.9965999999995</v>
      </c>
      <c r="AE47" s="6">
        <f>Site2!F66</f>
        <v>7123.1135939999995</v>
      </c>
      <c r="AF47" s="6">
        <f>Site2!G66</f>
        <v>7262.7824879999998</v>
      </c>
      <c r="AG47" s="6">
        <f>Site2!H66</f>
        <v>7402.4513819999993</v>
      </c>
      <c r="AH47" s="6">
        <f>Site2!I66</f>
        <v>7542.1202760000006</v>
      </c>
      <c r="AI47" s="6">
        <f>Site2!J66</f>
        <v>7681.78917</v>
      </c>
      <c r="AJ47" s="6">
        <f>Site2!K66</f>
        <v>7821.4580640000013</v>
      </c>
      <c r="AK47" s="6">
        <f>Site2!L66</f>
        <v>7961.1269580000007</v>
      </c>
      <c r="AL47" s="6">
        <f>Site2!M66</f>
        <v>8100.7958520000002</v>
      </c>
      <c r="AM47" s="6">
        <f>Site2!N66</f>
        <v>8240.4647459999996</v>
      </c>
      <c r="AN47" s="6">
        <f>Site2!O66</f>
        <v>8380.13364</v>
      </c>
      <c r="AO47" s="6">
        <f>Site2!P66</f>
        <v>8519.8025340000004</v>
      </c>
      <c r="AQ47" s="6">
        <f>Site3!E66</f>
        <v>0</v>
      </c>
      <c r="AR47" s="6">
        <f>Site3!F66</f>
        <v>7123.1135939999995</v>
      </c>
      <c r="AS47" s="6">
        <f>Site3!G66</f>
        <v>7262.7824879999998</v>
      </c>
      <c r="AT47" s="6">
        <f>Site3!H66</f>
        <v>7402.4513819999993</v>
      </c>
      <c r="AU47" s="6">
        <f>Site3!I66</f>
        <v>7542.1202760000006</v>
      </c>
      <c r="AV47" s="6">
        <f>Site3!J66</f>
        <v>7681.78917</v>
      </c>
      <c r="AW47" s="6">
        <f>Site3!K66</f>
        <v>7821.4580640000013</v>
      </c>
      <c r="AX47" s="6">
        <f>Site3!L66</f>
        <v>7961.1269580000007</v>
      </c>
      <c r="AY47" s="6">
        <f>Site3!M66</f>
        <v>8100.7958520000002</v>
      </c>
      <c r="AZ47" s="6">
        <f>Site3!N66</f>
        <v>8240.4647459999996</v>
      </c>
      <c r="BA47" s="6">
        <f>Site3!O66</f>
        <v>8380.13364</v>
      </c>
      <c r="BB47" s="6">
        <f>Site3!P66</f>
        <v>8519.8025340000004</v>
      </c>
      <c r="BD47" s="6">
        <f>Site4!E66</f>
        <v>0</v>
      </c>
      <c r="BE47" s="6">
        <f>Site4!F66</f>
        <v>7123.1135939999995</v>
      </c>
      <c r="BF47" s="6">
        <f>Site4!G66</f>
        <v>7262.7824879999998</v>
      </c>
      <c r="BG47" s="6">
        <f>Site4!H66</f>
        <v>7402.4513819999993</v>
      </c>
      <c r="BH47" s="6">
        <f>Site4!I66</f>
        <v>7542.1202760000006</v>
      </c>
      <c r="BI47" s="6">
        <f>Site4!J66</f>
        <v>7681.78917</v>
      </c>
      <c r="BJ47" s="6">
        <f>Site4!K66</f>
        <v>7821.4580640000013</v>
      </c>
      <c r="BK47" s="6">
        <f>Site4!L66</f>
        <v>7961.1269580000007</v>
      </c>
      <c r="BL47" s="6">
        <f>Site4!M66</f>
        <v>8100.7958520000002</v>
      </c>
      <c r="BM47" s="6">
        <f>Site4!N66</f>
        <v>8240.4647459999996</v>
      </c>
      <c r="BN47" s="6">
        <f>Site4!O66</f>
        <v>8380.13364</v>
      </c>
      <c r="BO47" s="6">
        <f>Site4!P66</f>
        <v>8519.8025340000004</v>
      </c>
      <c r="BQ47" s="6">
        <f>Site5!E66</f>
        <v>6639.9965999999995</v>
      </c>
      <c r="BR47" s="6">
        <f>Site5!F66</f>
        <v>7123.1135939999995</v>
      </c>
      <c r="BS47" s="6">
        <f>Site5!G66</f>
        <v>7262.7824879999998</v>
      </c>
      <c r="BT47" s="6">
        <f>Site5!H66</f>
        <v>7402.4513819999993</v>
      </c>
      <c r="BU47" s="6">
        <f>Site5!I66</f>
        <v>7542.1202760000006</v>
      </c>
      <c r="BV47" s="6">
        <f>Site5!J66</f>
        <v>7681.78917</v>
      </c>
      <c r="BW47" s="6">
        <f>Site5!K66</f>
        <v>7821.4580640000013</v>
      </c>
      <c r="BX47" s="6">
        <f>Site5!L66</f>
        <v>7961.1269580000007</v>
      </c>
      <c r="BY47" s="6">
        <f>Site5!M66</f>
        <v>8100.7958520000002</v>
      </c>
      <c r="BZ47" s="6">
        <f>Site5!N66</f>
        <v>8240.4647459999996</v>
      </c>
      <c r="CA47" s="6">
        <f>Site5!O66</f>
        <v>8380.13364</v>
      </c>
      <c r="CB47" s="6">
        <f>Site5!P66</f>
        <v>8519.8025340000004</v>
      </c>
      <c r="CD47" s="6">
        <f>Site6!E66</f>
        <v>0</v>
      </c>
      <c r="CE47" s="6">
        <f>Site6!F66</f>
        <v>0</v>
      </c>
      <c r="CF47" s="6">
        <f>Site6!G66</f>
        <v>0</v>
      </c>
      <c r="CG47" s="6">
        <f>Site6!H66</f>
        <v>7402.4513819999993</v>
      </c>
      <c r="CH47" s="6">
        <f>Site6!I66</f>
        <v>7542.1202760000006</v>
      </c>
      <c r="CI47" s="6">
        <f>Site6!J66</f>
        <v>7681.78917</v>
      </c>
      <c r="CJ47" s="6">
        <f>Site6!K66</f>
        <v>7821.4580640000013</v>
      </c>
      <c r="CK47" s="6">
        <f>Site6!L66</f>
        <v>7961.1269580000007</v>
      </c>
      <c r="CL47" s="6">
        <f>Site6!M66</f>
        <v>8100.7958520000002</v>
      </c>
      <c r="CM47" s="6">
        <f>Site6!N66</f>
        <v>8240.4647459999996</v>
      </c>
      <c r="CN47" s="6">
        <f>Site6!O66</f>
        <v>8380.13364</v>
      </c>
      <c r="CO47" s="6">
        <f>Site6!P66</f>
        <v>8519.8025340000004</v>
      </c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s="2" customFormat="1" hidden="1" outlineLevel="2" x14ac:dyDescent="0.25">
      <c r="A48" s="18" t="s">
        <v>419</v>
      </c>
      <c r="B48" s="18" t="s">
        <v>496</v>
      </c>
      <c r="D48" s="154">
        <f t="shared" si="10"/>
        <v>0</v>
      </c>
      <c r="E48" s="154">
        <f t="shared" si="11"/>
        <v>0</v>
      </c>
      <c r="F48" s="154">
        <f t="shared" si="12"/>
        <v>0</v>
      </c>
      <c r="G48" s="154">
        <f t="shared" si="13"/>
        <v>0</v>
      </c>
      <c r="H48" s="154">
        <f t="shared" si="14"/>
        <v>0</v>
      </c>
      <c r="I48" s="154">
        <f t="shared" si="15"/>
        <v>0</v>
      </c>
      <c r="J48" s="154">
        <f t="shared" si="16"/>
        <v>0</v>
      </c>
      <c r="K48" s="154">
        <f t="shared" si="17"/>
        <v>0</v>
      </c>
      <c r="L48" s="154">
        <f t="shared" si="18"/>
        <v>0</v>
      </c>
      <c r="M48" s="154">
        <f t="shared" si="19"/>
        <v>0</v>
      </c>
      <c r="N48" s="154">
        <f t="shared" si="20"/>
        <v>0</v>
      </c>
      <c r="O48" s="154">
        <f t="shared" si="21"/>
        <v>0</v>
      </c>
      <c r="Q48" s="6">
        <f>Site1!E67</f>
        <v>0</v>
      </c>
      <c r="R48" s="6">
        <f>Site1!F67</f>
        <v>0</v>
      </c>
      <c r="S48" s="6">
        <f>Site1!G67</f>
        <v>0</v>
      </c>
      <c r="T48" s="6">
        <f>Site1!H67</f>
        <v>0</v>
      </c>
      <c r="U48" s="6">
        <f>Site1!I67</f>
        <v>0</v>
      </c>
      <c r="V48" s="6">
        <f>Site1!J67</f>
        <v>0</v>
      </c>
      <c r="W48" s="6">
        <f>Site1!K67</f>
        <v>0</v>
      </c>
      <c r="X48" s="6">
        <f>Site1!L67</f>
        <v>0</v>
      </c>
      <c r="Y48" s="6">
        <f>Site1!M67</f>
        <v>0</v>
      </c>
      <c r="Z48" s="6">
        <f>Site1!N67</f>
        <v>0</v>
      </c>
      <c r="AA48" s="6">
        <f>Site1!O67</f>
        <v>0</v>
      </c>
      <c r="AB48" s="6">
        <f>Site1!P67</f>
        <v>0</v>
      </c>
      <c r="AD48" s="6">
        <f>Site2!E67</f>
        <v>0</v>
      </c>
      <c r="AE48" s="6">
        <f>Site2!F67</f>
        <v>0</v>
      </c>
      <c r="AF48" s="6">
        <f>Site2!G67</f>
        <v>0</v>
      </c>
      <c r="AG48" s="6">
        <f>Site2!H67</f>
        <v>0</v>
      </c>
      <c r="AH48" s="6">
        <f>Site2!I67</f>
        <v>0</v>
      </c>
      <c r="AI48" s="6">
        <f>Site2!J67</f>
        <v>0</v>
      </c>
      <c r="AJ48" s="6">
        <f>Site2!K67</f>
        <v>0</v>
      </c>
      <c r="AK48" s="6">
        <f>Site2!L67</f>
        <v>0</v>
      </c>
      <c r="AL48" s="6">
        <f>Site2!M67</f>
        <v>0</v>
      </c>
      <c r="AM48" s="6">
        <f>Site2!N67</f>
        <v>0</v>
      </c>
      <c r="AN48" s="6">
        <f>Site2!O67</f>
        <v>0</v>
      </c>
      <c r="AO48" s="6">
        <f>Site2!P67</f>
        <v>0</v>
      </c>
      <c r="AQ48" s="6">
        <f>Site3!E67</f>
        <v>0</v>
      </c>
      <c r="AR48" s="6">
        <f>Site3!F67</f>
        <v>0</v>
      </c>
      <c r="AS48" s="6">
        <f>Site3!G67</f>
        <v>0</v>
      </c>
      <c r="AT48" s="6">
        <f>Site3!H67</f>
        <v>0</v>
      </c>
      <c r="AU48" s="6">
        <f>Site3!I67</f>
        <v>0</v>
      </c>
      <c r="AV48" s="6">
        <f>Site3!J67</f>
        <v>0</v>
      </c>
      <c r="AW48" s="6">
        <f>Site3!K67</f>
        <v>0</v>
      </c>
      <c r="AX48" s="6">
        <f>Site3!L67</f>
        <v>0</v>
      </c>
      <c r="AY48" s="6">
        <f>Site3!M67</f>
        <v>0</v>
      </c>
      <c r="AZ48" s="6">
        <f>Site3!N67</f>
        <v>0</v>
      </c>
      <c r="BA48" s="6">
        <f>Site3!O67</f>
        <v>0</v>
      </c>
      <c r="BB48" s="6">
        <f>Site3!P67</f>
        <v>0</v>
      </c>
      <c r="BD48" s="6">
        <f>Site4!E67</f>
        <v>0</v>
      </c>
      <c r="BE48" s="6">
        <f>Site4!F67</f>
        <v>0</v>
      </c>
      <c r="BF48" s="6">
        <f>Site4!G67</f>
        <v>0</v>
      </c>
      <c r="BG48" s="6">
        <f>Site4!H67</f>
        <v>0</v>
      </c>
      <c r="BH48" s="6">
        <f>Site4!I67</f>
        <v>0</v>
      </c>
      <c r="BI48" s="6">
        <f>Site4!J67</f>
        <v>0</v>
      </c>
      <c r="BJ48" s="6">
        <f>Site4!K67</f>
        <v>0</v>
      </c>
      <c r="BK48" s="6">
        <f>Site4!L67</f>
        <v>0</v>
      </c>
      <c r="BL48" s="6">
        <f>Site4!M67</f>
        <v>0</v>
      </c>
      <c r="BM48" s="6">
        <f>Site4!N67</f>
        <v>0</v>
      </c>
      <c r="BN48" s="6">
        <f>Site4!O67</f>
        <v>0</v>
      </c>
      <c r="BO48" s="6">
        <f>Site4!P67</f>
        <v>0</v>
      </c>
      <c r="BQ48" s="6">
        <f>Site5!E67</f>
        <v>0</v>
      </c>
      <c r="BR48" s="6">
        <f>Site5!F67</f>
        <v>0</v>
      </c>
      <c r="BS48" s="6">
        <f>Site5!G67</f>
        <v>0</v>
      </c>
      <c r="BT48" s="6">
        <f>Site5!H67</f>
        <v>0</v>
      </c>
      <c r="BU48" s="6">
        <f>Site5!I67</f>
        <v>0</v>
      </c>
      <c r="BV48" s="6">
        <f>Site5!J67</f>
        <v>0</v>
      </c>
      <c r="BW48" s="6">
        <f>Site5!K67</f>
        <v>0</v>
      </c>
      <c r="BX48" s="6">
        <f>Site5!L67</f>
        <v>0</v>
      </c>
      <c r="BY48" s="6">
        <f>Site5!M67</f>
        <v>0</v>
      </c>
      <c r="BZ48" s="6">
        <f>Site5!N67</f>
        <v>0</v>
      </c>
      <c r="CA48" s="6">
        <f>Site5!O67</f>
        <v>0</v>
      </c>
      <c r="CB48" s="6">
        <f>Site5!P67</f>
        <v>0</v>
      </c>
      <c r="CD48" s="6">
        <f>Site6!E67</f>
        <v>0</v>
      </c>
      <c r="CE48" s="6">
        <f>Site6!F67</f>
        <v>0</v>
      </c>
      <c r="CF48" s="6">
        <f>Site6!G67</f>
        <v>0</v>
      </c>
      <c r="CG48" s="6">
        <f>Site6!H67</f>
        <v>0</v>
      </c>
      <c r="CH48" s="6">
        <f>Site6!I67</f>
        <v>0</v>
      </c>
      <c r="CI48" s="6">
        <f>Site6!J67</f>
        <v>0</v>
      </c>
      <c r="CJ48" s="6">
        <f>Site6!K67</f>
        <v>0</v>
      </c>
      <c r="CK48" s="6">
        <f>Site6!L67</f>
        <v>0</v>
      </c>
      <c r="CL48" s="6">
        <f>Site6!M67</f>
        <v>0</v>
      </c>
      <c r="CM48" s="6">
        <f>Site6!N67</f>
        <v>0</v>
      </c>
      <c r="CN48" s="6">
        <f>Site6!O67</f>
        <v>0</v>
      </c>
      <c r="CO48" s="6">
        <f>Site6!P67</f>
        <v>0</v>
      </c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s="2" customFormat="1" hidden="1" outlineLevel="1" x14ac:dyDescent="0.25">
      <c r="A49" s="18">
        <v>6237</v>
      </c>
      <c r="B49" s="18" t="s">
        <v>425</v>
      </c>
      <c r="D49" s="154">
        <f t="shared" si="10"/>
        <v>19919.989799999999</v>
      </c>
      <c r="E49" s="154">
        <f t="shared" si="11"/>
        <v>35615.567969999996</v>
      </c>
      <c r="F49" s="154">
        <f t="shared" si="12"/>
        <v>36313.91244</v>
      </c>
      <c r="G49" s="154">
        <f t="shared" si="13"/>
        <v>44414.708291999996</v>
      </c>
      <c r="H49" s="154">
        <f t="shared" si="14"/>
        <v>45252.721656000002</v>
      </c>
      <c r="I49" s="154">
        <f t="shared" si="15"/>
        <v>46090.735020000007</v>
      </c>
      <c r="J49" s="154">
        <f t="shared" si="16"/>
        <v>46928.748384000006</v>
      </c>
      <c r="K49" s="154">
        <f t="shared" si="17"/>
        <v>47766.761748000004</v>
      </c>
      <c r="L49" s="154">
        <f t="shared" si="18"/>
        <v>48604.775112000003</v>
      </c>
      <c r="M49" s="154">
        <f t="shared" si="19"/>
        <v>49442.788475999994</v>
      </c>
      <c r="N49" s="154">
        <f t="shared" si="20"/>
        <v>50280.80184</v>
      </c>
      <c r="O49" s="154">
        <f t="shared" si="21"/>
        <v>51118.815204000006</v>
      </c>
      <c r="Q49" s="6">
        <f>Site1!E68</f>
        <v>6639.9965999999995</v>
      </c>
      <c r="R49" s="6">
        <f>Site1!F68</f>
        <v>7123.1135939999995</v>
      </c>
      <c r="S49" s="6">
        <f>Site1!G68</f>
        <v>7262.7824879999998</v>
      </c>
      <c r="T49" s="6">
        <f>Site1!H68</f>
        <v>7402.4513819999993</v>
      </c>
      <c r="U49" s="6">
        <f>Site1!I68</f>
        <v>7542.1202760000006</v>
      </c>
      <c r="V49" s="6">
        <f>Site1!J68</f>
        <v>7681.78917</v>
      </c>
      <c r="W49" s="6">
        <f>Site1!K68</f>
        <v>7821.4580640000013</v>
      </c>
      <c r="X49" s="6">
        <f>Site1!L68</f>
        <v>7961.1269580000007</v>
      </c>
      <c r="Y49" s="6">
        <f>Site1!M68</f>
        <v>8100.7958520000002</v>
      </c>
      <c r="Z49" s="6">
        <f>Site1!N68</f>
        <v>8240.4647459999996</v>
      </c>
      <c r="AA49" s="6">
        <f>Site1!O68</f>
        <v>8380.13364</v>
      </c>
      <c r="AB49" s="6">
        <f>Site1!P68</f>
        <v>8519.8025340000004</v>
      </c>
      <c r="AD49" s="6">
        <f>Site2!E68</f>
        <v>6639.9965999999995</v>
      </c>
      <c r="AE49" s="6">
        <f>Site2!F68</f>
        <v>7123.1135939999995</v>
      </c>
      <c r="AF49" s="6">
        <f>Site2!G68</f>
        <v>7262.7824879999998</v>
      </c>
      <c r="AG49" s="6">
        <f>Site2!H68</f>
        <v>7402.4513819999993</v>
      </c>
      <c r="AH49" s="6">
        <f>Site2!I68</f>
        <v>7542.1202760000006</v>
      </c>
      <c r="AI49" s="6">
        <f>Site2!J68</f>
        <v>7681.78917</v>
      </c>
      <c r="AJ49" s="6">
        <f>Site2!K68</f>
        <v>7821.4580640000013</v>
      </c>
      <c r="AK49" s="6">
        <f>Site2!L68</f>
        <v>7961.1269580000007</v>
      </c>
      <c r="AL49" s="6">
        <f>Site2!M68</f>
        <v>8100.7958520000002</v>
      </c>
      <c r="AM49" s="6">
        <f>Site2!N68</f>
        <v>8240.4647459999996</v>
      </c>
      <c r="AN49" s="6">
        <f>Site2!O68</f>
        <v>8380.13364</v>
      </c>
      <c r="AO49" s="6">
        <f>Site2!P68</f>
        <v>8519.8025340000004</v>
      </c>
      <c r="AQ49" s="6">
        <f>Site3!E68</f>
        <v>0</v>
      </c>
      <c r="AR49" s="6">
        <f>Site3!F68</f>
        <v>7123.1135939999995</v>
      </c>
      <c r="AS49" s="6">
        <f>Site3!G68</f>
        <v>7262.7824879999998</v>
      </c>
      <c r="AT49" s="6">
        <f>Site3!H68</f>
        <v>7402.4513819999993</v>
      </c>
      <c r="AU49" s="6">
        <f>Site3!I68</f>
        <v>7542.1202760000006</v>
      </c>
      <c r="AV49" s="6">
        <f>Site3!J68</f>
        <v>7681.78917</v>
      </c>
      <c r="AW49" s="6">
        <f>Site3!K68</f>
        <v>7821.4580640000013</v>
      </c>
      <c r="AX49" s="6">
        <f>Site3!L68</f>
        <v>7961.1269580000007</v>
      </c>
      <c r="AY49" s="6">
        <f>Site3!M68</f>
        <v>8100.7958520000002</v>
      </c>
      <c r="AZ49" s="6">
        <f>Site3!N68</f>
        <v>8240.4647459999996</v>
      </c>
      <c r="BA49" s="6">
        <f>Site3!O68</f>
        <v>8380.13364</v>
      </c>
      <c r="BB49" s="6">
        <f>Site3!P68</f>
        <v>8519.8025340000004</v>
      </c>
      <c r="BD49" s="6">
        <f>Site4!E68</f>
        <v>0</v>
      </c>
      <c r="BE49" s="6">
        <f>Site4!F68</f>
        <v>7123.1135939999995</v>
      </c>
      <c r="BF49" s="6">
        <f>Site4!G68</f>
        <v>7262.7824879999998</v>
      </c>
      <c r="BG49" s="6">
        <f>Site4!H68</f>
        <v>7402.4513819999993</v>
      </c>
      <c r="BH49" s="6">
        <f>Site4!I68</f>
        <v>7542.1202760000006</v>
      </c>
      <c r="BI49" s="6">
        <f>Site4!J68</f>
        <v>7681.78917</v>
      </c>
      <c r="BJ49" s="6">
        <f>Site4!K68</f>
        <v>7821.4580640000013</v>
      </c>
      <c r="BK49" s="6">
        <f>Site4!L68</f>
        <v>7961.1269580000007</v>
      </c>
      <c r="BL49" s="6">
        <f>Site4!M68</f>
        <v>8100.7958520000002</v>
      </c>
      <c r="BM49" s="6">
        <f>Site4!N68</f>
        <v>8240.4647459999996</v>
      </c>
      <c r="BN49" s="6">
        <f>Site4!O68</f>
        <v>8380.13364</v>
      </c>
      <c r="BO49" s="6">
        <f>Site4!P68</f>
        <v>8519.8025340000004</v>
      </c>
      <c r="BQ49" s="6">
        <f>Site5!E68</f>
        <v>6639.9965999999995</v>
      </c>
      <c r="BR49" s="6">
        <f>Site5!F68</f>
        <v>7123.1135939999995</v>
      </c>
      <c r="BS49" s="6">
        <f>Site5!G68</f>
        <v>7262.7824879999998</v>
      </c>
      <c r="BT49" s="6">
        <f>Site5!H68</f>
        <v>7402.4513819999993</v>
      </c>
      <c r="BU49" s="6">
        <f>Site5!I68</f>
        <v>7542.1202760000006</v>
      </c>
      <c r="BV49" s="6">
        <f>Site5!J68</f>
        <v>7681.78917</v>
      </c>
      <c r="BW49" s="6">
        <f>Site5!K68</f>
        <v>7821.4580640000013</v>
      </c>
      <c r="BX49" s="6">
        <f>Site5!L68</f>
        <v>7961.1269580000007</v>
      </c>
      <c r="BY49" s="6">
        <f>Site5!M68</f>
        <v>8100.7958520000002</v>
      </c>
      <c r="BZ49" s="6">
        <f>Site5!N68</f>
        <v>8240.4647459999996</v>
      </c>
      <c r="CA49" s="6">
        <f>Site5!O68</f>
        <v>8380.13364</v>
      </c>
      <c r="CB49" s="6">
        <f>Site5!P68</f>
        <v>8519.8025340000004</v>
      </c>
      <c r="CD49" s="6">
        <f>Site6!E68</f>
        <v>0</v>
      </c>
      <c r="CE49" s="6">
        <f>Site6!F68</f>
        <v>0</v>
      </c>
      <c r="CF49" s="6">
        <f>Site6!G68</f>
        <v>0</v>
      </c>
      <c r="CG49" s="6">
        <f>Site6!H68</f>
        <v>7402.4513819999993</v>
      </c>
      <c r="CH49" s="6">
        <f>Site6!I68</f>
        <v>7542.1202760000006</v>
      </c>
      <c r="CI49" s="6">
        <f>Site6!J68</f>
        <v>7681.78917</v>
      </c>
      <c r="CJ49" s="6">
        <f>Site6!K68</f>
        <v>7821.4580640000013</v>
      </c>
      <c r="CK49" s="6">
        <f>Site6!L68</f>
        <v>7961.1269580000007</v>
      </c>
      <c r="CL49" s="6">
        <f>Site6!M68</f>
        <v>8100.7958520000002</v>
      </c>
      <c r="CM49" s="6">
        <f>Site6!N68</f>
        <v>8240.4647459999996</v>
      </c>
      <c r="CN49" s="6">
        <f>Site6!O68</f>
        <v>8380.13364</v>
      </c>
      <c r="CO49" s="6">
        <f>Site6!P68</f>
        <v>8519.8025340000004</v>
      </c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s="2" customFormat="1" hidden="1" outlineLevel="1" x14ac:dyDescent="0.25">
      <c r="A50" s="18">
        <v>6241</v>
      </c>
      <c r="B50" s="18" t="s">
        <v>383</v>
      </c>
      <c r="D50" s="154">
        <f t="shared" si="10"/>
        <v>1784.48774</v>
      </c>
      <c r="E50" s="154">
        <f t="shared" si="11"/>
        <v>1820.1774948000002</v>
      </c>
      <c r="F50" s="154">
        <f t="shared" si="12"/>
        <v>2330.6270065000003</v>
      </c>
      <c r="G50" s="154">
        <f t="shared" si="13"/>
        <v>2375.446756625</v>
      </c>
      <c r="H50" s="154">
        <f t="shared" si="14"/>
        <v>2420.2665067500002</v>
      </c>
      <c r="I50" s="154">
        <f t="shared" si="15"/>
        <v>2465.0862568750003</v>
      </c>
      <c r="J50" s="154">
        <f t="shared" si="16"/>
        <v>2509.9060070000005</v>
      </c>
      <c r="K50" s="154">
        <f t="shared" si="17"/>
        <v>3075.135490650001</v>
      </c>
      <c r="L50" s="154">
        <f t="shared" si="18"/>
        <v>3658.6249649499996</v>
      </c>
      <c r="M50" s="154">
        <f t="shared" si="19"/>
        <v>4260.3744299000009</v>
      </c>
      <c r="N50" s="154">
        <f t="shared" si="20"/>
        <v>4332.5841660000015</v>
      </c>
      <c r="O50" s="154">
        <f t="shared" si="21"/>
        <v>4404.7939021000011</v>
      </c>
      <c r="Q50" s="6">
        <f>Site1!E69</f>
        <v>995.99949000000004</v>
      </c>
      <c r="R50" s="6">
        <f>Site1!F69</f>
        <v>1015.9194798000001</v>
      </c>
      <c r="S50" s="6">
        <f>Site1!G69</f>
        <v>1035.8394696000003</v>
      </c>
      <c r="T50" s="6">
        <f>Site1!H69</f>
        <v>1055.7594594</v>
      </c>
      <c r="U50" s="6">
        <f>Site1!I69</f>
        <v>1075.6794492000001</v>
      </c>
      <c r="V50" s="6">
        <f>Site1!J69</f>
        <v>1095.5994390000003</v>
      </c>
      <c r="W50" s="6">
        <f>Site1!K69</f>
        <v>1115.5194288</v>
      </c>
      <c r="X50" s="6">
        <f>Site1!L69</f>
        <v>1135.4394186000004</v>
      </c>
      <c r="Y50" s="6">
        <f>Site1!M69</f>
        <v>1155.3594084000001</v>
      </c>
      <c r="Z50" s="6">
        <f>Site1!N69</f>
        <v>1175.2793982000001</v>
      </c>
      <c r="AA50" s="6">
        <f>Site1!O69</f>
        <v>1195.1993880000002</v>
      </c>
      <c r="AB50" s="6">
        <f>Site1!P69</f>
        <v>1215.1193778000002</v>
      </c>
      <c r="AD50" s="6">
        <f>Site2!E69</f>
        <v>788.48824999999999</v>
      </c>
      <c r="AE50" s="6">
        <f>Site2!F69</f>
        <v>804.258015</v>
      </c>
      <c r="AF50" s="6">
        <f>Site2!G69</f>
        <v>820.02778000000001</v>
      </c>
      <c r="AG50" s="6">
        <f>Site2!H69</f>
        <v>835.79754500000001</v>
      </c>
      <c r="AH50" s="6">
        <f>Site2!I69</f>
        <v>851.56731000000013</v>
      </c>
      <c r="AI50" s="6">
        <f>Site2!J69</f>
        <v>867.33707500000014</v>
      </c>
      <c r="AJ50" s="6">
        <f>Site2!K69</f>
        <v>883.10684000000015</v>
      </c>
      <c r="AK50" s="6">
        <f>Site2!L69</f>
        <v>898.87660500000015</v>
      </c>
      <c r="AL50" s="6">
        <f>Site2!M69</f>
        <v>914.64637000000005</v>
      </c>
      <c r="AM50" s="6">
        <f>Site2!N69</f>
        <v>930.41613500000017</v>
      </c>
      <c r="AN50" s="6">
        <f>Site2!O69</f>
        <v>946.18590000000006</v>
      </c>
      <c r="AO50" s="6">
        <f>Site2!P69</f>
        <v>961.95566500000007</v>
      </c>
      <c r="AQ50" s="6">
        <f>Site3!E69</f>
        <v>0</v>
      </c>
      <c r="AR50" s="6">
        <f>Site3!F69</f>
        <v>0</v>
      </c>
      <c r="AS50" s="6">
        <f>Site3!G69</f>
        <v>0</v>
      </c>
      <c r="AT50" s="6">
        <f>Site3!H69</f>
        <v>0</v>
      </c>
      <c r="AU50" s="6">
        <f>Site3!I69</f>
        <v>0</v>
      </c>
      <c r="AV50" s="6">
        <f>Site3!J69</f>
        <v>0</v>
      </c>
      <c r="AW50" s="6">
        <f>Site3!K69</f>
        <v>0</v>
      </c>
      <c r="AX50" s="6">
        <f>Site3!L69</f>
        <v>0</v>
      </c>
      <c r="AY50" s="6">
        <f>Site3!M69</f>
        <v>529.53972885000007</v>
      </c>
      <c r="AZ50" s="6">
        <f>Site3!N69</f>
        <v>538.66972417500006</v>
      </c>
      <c r="BA50" s="6">
        <f>Site3!O69</f>
        <v>547.79971950000015</v>
      </c>
      <c r="BB50" s="6">
        <f>Site3!P69</f>
        <v>556.92971482500013</v>
      </c>
      <c r="BD50" s="6">
        <f>Site4!E69</f>
        <v>0</v>
      </c>
      <c r="BE50" s="6">
        <f>Site4!F69</f>
        <v>0</v>
      </c>
      <c r="BF50" s="6">
        <f>Site4!G69</f>
        <v>0</v>
      </c>
      <c r="BG50" s="6">
        <f>Site4!H69</f>
        <v>0</v>
      </c>
      <c r="BH50" s="6">
        <f>Site4!I69</f>
        <v>0</v>
      </c>
      <c r="BI50" s="6">
        <f>Site4!J69</f>
        <v>0</v>
      </c>
      <c r="BJ50" s="6">
        <f>Site4!K69</f>
        <v>0</v>
      </c>
      <c r="BK50" s="6">
        <f>Site4!L69</f>
        <v>520.40973352500009</v>
      </c>
      <c r="BL50" s="6">
        <f>Site4!M69</f>
        <v>529.53972885000007</v>
      </c>
      <c r="BM50" s="6">
        <f>Site4!N69</f>
        <v>538.66972417500006</v>
      </c>
      <c r="BN50" s="6">
        <f>Site4!O69</f>
        <v>547.79971950000015</v>
      </c>
      <c r="BO50" s="6">
        <f>Site4!P69</f>
        <v>556.92971482500013</v>
      </c>
      <c r="BQ50" s="6">
        <f>Site5!E69</f>
        <v>0</v>
      </c>
      <c r="BR50" s="6">
        <f>Site5!F69</f>
        <v>0</v>
      </c>
      <c r="BS50" s="6">
        <f>Site5!G69</f>
        <v>474.75975690000007</v>
      </c>
      <c r="BT50" s="6">
        <f>Site5!H69</f>
        <v>483.88975222500011</v>
      </c>
      <c r="BU50" s="6">
        <f>Site5!I69</f>
        <v>493.01974755000009</v>
      </c>
      <c r="BV50" s="6">
        <f>Site5!J69</f>
        <v>502.14974287500007</v>
      </c>
      <c r="BW50" s="6">
        <f>Site5!K69</f>
        <v>511.27973820000017</v>
      </c>
      <c r="BX50" s="6">
        <f>Site5!L69</f>
        <v>520.40973352500009</v>
      </c>
      <c r="BY50" s="6">
        <f>Site5!M69</f>
        <v>529.53972885000007</v>
      </c>
      <c r="BZ50" s="6">
        <f>Site5!N69</f>
        <v>1077.3394483500001</v>
      </c>
      <c r="CA50" s="6">
        <f>Site5!O69</f>
        <v>1095.5994390000003</v>
      </c>
      <c r="CB50" s="6">
        <f>Site5!P69</f>
        <v>1113.8594296500003</v>
      </c>
      <c r="CD50" s="6">
        <f>Site6!E69</f>
        <v>0</v>
      </c>
      <c r="CE50" s="6">
        <f>Site6!F69</f>
        <v>0</v>
      </c>
      <c r="CF50" s="6">
        <f>Site6!G69</f>
        <v>0</v>
      </c>
      <c r="CG50" s="6">
        <f>Site6!H69</f>
        <v>0</v>
      </c>
      <c r="CH50" s="6">
        <f>Site6!I69</f>
        <v>0</v>
      </c>
      <c r="CI50" s="6">
        <f>Site6!J69</f>
        <v>0</v>
      </c>
      <c r="CJ50" s="6">
        <f>Site6!K69</f>
        <v>0</v>
      </c>
      <c r="CK50" s="6">
        <f>Site6!L69</f>
        <v>0</v>
      </c>
      <c r="CL50" s="6">
        <f>Site6!M69</f>
        <v>0</v>
      </c>
      <c r="CM50" s="6">
        <f>Site6!N69</f>
        <v>0</v>
      </c>
      <c r="CN50" s="6">
        <f>Site6!O69</f>
        <v>0</v>
      </c>
      <c r="CO50" s="6">
        <f>Site6!P69</f>
        <v>0</v>
      </c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2" customFormat="1" hidden="1" outlineLevel="1" x14ac:dyDescent="0.25">
      <c r="A51" s="18">
        <v>6244</v>
      </c>
      <c r="B51" s="18" t="s">
        <v>384</v>
      </c>
      <c r="D51" s="154">
        <f t="shared" si="10"/>
        <v>6236.2252500000004</v>
      </c>
      <c r="E51" s="154">
        <f t="shared" si="11"/>
        <v>6360.9497550000006</v>
      </c>
      <c r="F51" s="154">
        <f t="shared" si="12"/>
        <v>7752.9899200000009</v>
      </c>
      <c r="G51" s="154">
        <f t="shared" si="13"/>
        <v>7902.0858799999987</v>
      </c>
      <c r="H51" s="154">
        <f t="shared" si="14"/>
        <v>8051.1818400000011</v>
      </c>
      <c r="I51" s="154">
        <f t="shared" si="15"/>
        <v>8200.2778000000017</v>
      </c>
      <c r="J51" s="154">
        <f t="shared" si="16"/>
        <v>8349.3737600000022</v>
      </c>
      <c r="K51" s="154">
        <f t="shared" si="17"/>
        <v>8498.469720000001</v>
      </c>
      <c r="L51" s="154">
        <f t="shared" si="18"/>
        <v>8647.5656800000015</v>
      </c>
      <c r="M51" s="154">
        <f t="shared" si="19"/>
        <v>8796.6616400000003</v>
      </c>
      <c r="N51" s="154">
        <f t="shared" si="20"/>
        <v>8945.7576000000008</v>
      </c>
      <c r="O51" s="154">
        <f t="shared" si="21"/>
        <v>9094.8535600000014</v>
      </c>
      <c r="Q51" s="6">
        <f>Site1!E70</f>
        <v>1218.57275</v>
      </c>
      <c r="R51" s="6">
        <f>Site1!F70</f>
        <v>1242.9442050000002</v>
      </c>
      <c r="S51" s="6">
        <f>Site1!G70</f>
        <v>1267.31566</v>
      </c>
      <c r="T51" s="6">
        <f>Site1!H70</f>
        <v>1291.6871149999999</v>
      </c>
      <c r="U51" s="6">
        <f>Site1!I70</f>
        <v>1316.0585700000001</v>
      </c>
      <c r="V51" s="6">
        <f>Site1!J70</f>
        <v>1340.4300250000003</v>
      </c>
      <c r="W51" s="6">
        <f>Site1!K70</f>
        <v>1364.8014800000003</v>
      </c>
      <c r="X51" s="6">
        <f>Site1!L70</f>
        <v>1389.1729350000003</v>
      </c>
      <c r="Y51" s="6">
        <f>Site1!M70</f>
        <v>1413.5443900000002</v>
      </c>
      <c r="Z51" s="6">
        <f>Site1!N70</f>
        <v>1437.915845</v>
      </c>
      <c r="AA51" s="6">
        <f>Site1!O70</f>
        <v>1462.2873000000002</v>
      </c>
      <c r="AB51" s="6">
        <f>Site1!P70</f>
        <v>1486.6587550000002</v>
      </c>
      <c r="AD51" s="6">
        <f>Site2!E70</f>
        <v>1290.2535</v>
      </c>
      <c r="AE51" s="6">
        <f>Site2!F70</f>
        <v>1316.0585700000001</v>
      </c>
      <c r="AF51" s="6">
        <f>Site2!G70</f>
        <v>1341.8636400000003</v>
      </c>
      <c r="AG51" s="6">
        <f>Site2!H70</f>
        <v>1367.6687099999999</v>
      </c>
      <c r="AH51" s="6">
        <f>Site2!I70</f>
        <v>1393.47378</v>
      </c>
      <c r="AI51" s="6">
        <f>Site2!J70</f>
        <v>1419.2788500000004</v>
      </c>
      <c r="AJ51" s="6">
        <f>Site2!K70</f>
        <v>1445.0839200000005</v>
      </c>
      <c r="AK51" s="6">
        <f>Site2!L70</f>
        <v>1470.8889900000001</v>
      </c>
      <c r="AL51" s="6">
        <f>Site2!M70</f>
        <v>1496.69406</v>
      </c>
      <c r="AM51" s="6">
        <f>Site2!N70</f>
        <v>1522.4991300000002</v>
      </c>
      <c r="AN51" s="6">
        <f>Site2!O70</f>
        <v>1548.3042000000003</v>
      </c>
      <c r="AO51" s="6">
        <f>Site2!P70</f>
        <v>1574.1092700000002</v>
      </c>
      <c r="AQ51" s="6">
        <f>Site3!E70</f>
        <v>1218.57275</v>
      </c>
      <c r="AR51" s="6">
        <f>Site3!F70</f>
        <v>1242.9442050000002</v>
      </c>
      <c r="AS51" s="6">
        <f>Site3!G70</f>
        <v>1267.31566</v>
      </c>
      <c r="AT51" s="6">
        <f>Site3!H70</f>
        <v>1291.6871149999999</v>
      </c>
      <c r="AU51" s="6">
        <f>Site3!I70</f>
        <v>1316.0585700000001</v>
      </c>
      <c r="AV51" s="6">
        <f>Site3!J70</f>
        <v>1340.4300250000003</v>
      </c>
      <c r="AW51" s="6">
        <f>Site3!K70</f>
        <v>1364.8014800000003</v>
      </c>
      <c r="AX51" s="6">
        <f>Site3!L70</f>
        <v>1389.1729350000003</v>
      </c>
      <c r="AY51" s="6">
        <f>Site3!M70</f>
        <v>1413.5443900000002</v>
      </c>
      <c r="AZ51" s="6">
        <f>Site3!N70</f>
        <v>1437.915845</v>
      </c>
      <c r="BA51" s="6">
        <f>Site3!O70</f>
        <v>1462.2873000000002</v>
      </c>
      <c r="BB51" s="6">
        <f>Site3!P70</f>
        <v>1486.6587550000002</v>
      </c>
      <c r="BD51" s="6">
        <f>Site4!E70</f>
        <v>1218.57275</v>
      </c>
      <c r="BE51" s="6">
        <f>Site4!F70</f>
        <v>1242.9442050000002</v>
      </c>
      <c r="BF51" s="6">
        <f>Site4!G70</f>
        <v>1267.31566</v>
      </c>
      <c r="BG51" s="6">
        <f>Site4!H70</f>
        <v>1291.6871149999999</v>
      </c>
      <c r="BH51" s="6">
        <f>Site4!I70</f>
        <v>1316.0585700000001</v>
      </c>
      <c r="BI51" s="6">
        <f>Site4!J70</f>
        <v>1340.4300250000003</v>
      </c>
      <c r="BJ51" s="6">
        <f>Site4!K70</f>
        <v>1364.8014800000003</v>
      </c>
      <c r="BK51" s="6">
        <f>Site4!L70</f>
        <v>1389.1729350000003</v>
      </c>
      <c r="BL51" s="6">
        <f>Site4!M70</f>
        <v>1413.5443900000002</v>
      </c>
      <c r="BM51" s="6">
        <f>Site4!N70</f>
        <v>1437.915845</v>
      </c>
      <c r="BN51" s="6">
        <f>Site4!O70</f>
        <v>1462.2873000000002</v>
      </c>
      <c r="BO51" s="6">
        <f>Site4!P70</f>
        <v>1486.6587550000002</v>
      </c>
      <c r="BQ51" s="6">
        <f>Site5!E70</f>
        <v>1290.2535</v>
      </c>
      <c r="BR51" s="6">
        <f>Site5!F70</f>
        <v>1316.0585700000001</v>
      </c>
      <c r="BS51" s="6">
        <f>Site5!G70</f>
        <v>1341.8636400000003</v>
      </c>
      <c r="BT51" s="6">
        <f>Site5!H70</f>
        <v>1367.6687099999999</v>
      </c>
      <c r="BU51" s="6">
        <f>Site5!I70</f>
        <v>1393.47378</v>
      </c>
      <c r="BV51" s="6">
        <f>Site5!J70</f>
        <v>1419.2788500000004</v>
      </c>
      <c r="BW51" s="6">
        <f>Site5!K70</f>
        <v>1445.0839200000005</v>
      </c>
      <c r="BX51" s="6">
        <f>Site5!L70</f>
        <v>1470.8889900000001</v>
      </c>
      <c r="BY51" s="6">
        <f>Site5!M70</f>
        <v>1496.69406</v>
      </c>
      <c r="BZ51" s="6">
        <f>Site5!N70</f>
        <v>1522.4991300000002</v>
      </c>
      <c r="CA51" s="6">
        <f>Site5!O70</f>
        <v>1548.3042000000003</v>
      </c>
      <c r="CB51" s="6">
        <f>Site5!P70</f>
        <v>1574.1092700000002</v>
      </c>
      <c r="CD51" s="6">
        <f>Site6!E70</f>
        <v>0</v>
      </c>
      <c r="CE51" s="6">
        <f>Site6!F70</f>
        <v>0</v>
      </c>
      <c r="CF51" s="6">
        <f>Site6!G70</f>
        <v>1267.31566</v>
      </c>
      <c r="CG51" s="6">
        <f>Site6!H70</f>
        <v>1291.6871149999999</v>
      </c>
      <c r="CH51" s="6">
        <f>Site6!I70</f>
        <v>1316.0585700000001</v>
      </c>
      <c r="CI51" s="6">
        <f>Site6!J70</f>
        <v>1340.4300250000003</v>
      </c>
      <c r="CJ51" s="6">
        <f>Site6!K70</f>
        <v>1364.8014800000003</v>
      </c>
      <c r="CK51" s="6">
        <f>Site6!L70</f>
        <v>1389.1729350000003</v>
      </c>
      <c r="CL51" s="6">
        <f>Site6!M70</f>
        <v>1413.5443900000002</v>
      </c>
      <c r="CM51" s="6">
        <f>Site6!N70</f>
        <v>1437.915845</v>
      </c>
      <c r="CN51" s="6">
        <f>Site6!O70</f>
        <v>1462.2873000000002</v>
      </c>
      <c r="CO51" s="6">
        <f>Site6!P70</f>
        <v>1486.6587550000002</v>
      </c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s="2" customFormat="1" hidden="1" outlineLevel="1" x14ac:dyDescent="0.25">
      <c r="A52" s="18">
        <v>6247</v>
      </c>
      <c r="B52" s="18" t="s">
        <v>385</v>
      </c>
      <c r="D52" s="154">
        <f t="shared" si="10"/>
        <v>3388.9289800000001</v>
      </c>
      <c r="E52" s="154">
        <f t="shared" si="11"/>
        <v>5254.9668660000007</v>
      </c>
      <c r="F52" s="154">
        <f t="shared" si="12"/>
        <v>5629.4454319999995</v>
      </c>
      <c r="G52" s="154">
        <f t="shared" si="13"/>
        <v>6625.9836376000003</v>
      </c>
      <c r="H52" s="154">
        <f t="shared" si="14"/>
        <v>6868.4521967999999</v>
      </c>
      <c r="I52" s="154">
        <f t="shared" si="15"/>
        <v>6995.6457559999999</v>
      </c>
      <c r="J52" s="154">
        <f t="shared" si="16"/>
        <v>7122.8393152000017</v>
      </c>
      <c r="K52" s="154">
        <f t="shared" si="17"/>
        <v>7250.0328744000017</v>
      </c>
      <c r="L52" s="154">
        <f t="shared" si="18"/>
        <v>7377.2264336000007</v>
      </c>
      <c r="M52" s="154">
        <f t="shared" si="19"/>
        <v>7504.4199927999998</v>
      </c>
      <c r="N52" s="154">
        <f t="shared" si="20"/>
        <v>7631.6135519999998</v>
      </c>
      <c r="O52" s="154">
        <f t="shared" si="21"/>
        <v>7758.8071112000016</v>
      </c>
      <c r="Q52" s="6">
        <f>Site1!E71</f>
        <v>1432.4996600000002</v>
      </c>
      <c r="R52" s="6">
        <f>Site1!F71</f>
        <v>1461.1496531999999</v>
      </c>
      <c r="S52" s="6">
        <f>Site1!G71</f>
        <v>1489.7996464</v>
      </c>
      <c r="T52" s="6">
        <f>Site1!H71</f>
        <v>1518.4496396</v>
      </c>
      <c r="U52" s="6">
        <f>Site1!I71</f>
        <v>1547.0996328000001</v>
      </c>
      <c r="V52" s="6">
        <f>Site1!J71</f>
        <v>1575.7496260000003</v>
      </c>
      <c r="W52" s="6">
        <f>Site1!K71</f>
        <v>1604.3996192000002</v>
      </c>
      <c r="X52" s="6">
        <f>Site1!L71</f>
        <v>1633.0496124000003</v>
      </c>
      <c r="Y52" s="6">
        <f>Site1!M71</f>
        <v>1661.6996056</v>
      </c>
      <c r="Z52" s="6">
        <f>Site1!N71</f>
        <v>1690.3495988</v>
      </c>
      <c r="AA52" s="6">
        <f>Site1!O71</f>
        <v>1718.9995920000001</v>
      </c>
      <c r="AB52" s="6">
        <f>Site1!P71</f>
        <v>1747.6495852</v>
      </c>
      <c r="AD52" s="6">
        <f>Site2!E71</f>
        <v>1011.9996600000001</v>
      </c>
      <c r="AE52" s="6">
        <f>Site2!F71</f>
        <v>1120.9796532</v>
      </c>
      <c r="AF52" s="6">
        <f>Site2!G71</f>
        <v>1142.9596463999999</v>
      </c>
      <c r="AG52" s="6">
        <f>Site2!H71</f>
        <v>1164.9396396</v>
      </c>
      <c r="AH52" s="6">
        <f>Site2!I71</f>
        <v>1186.9196328</v>
      </c>
      <c r="AI52" s="6">
        <f>Site2!J71</f>
        <v>1208.8996260000001</v>
      </c>
      <c r="AJ52" s="6">
        <f>Site2!K71</f>
        <v>1230.8796192000002</v>
      </c>
      <c r="AK52" s="6">
        <f>Site2!L71</f>
        <v>1252.8596124000003</v>
      </c>
      <c r="AL52" s="6">
        <f>Site2!M71</f>
        <v>1274.8396055999999</v>
      </c>
      <c r="AM52" s="6">
        <f>Site2!N71</f>
        <v>1296.8195988</v>
      </c>
      <c r="AN52" s="6">
        <f>Site2!O71</f>
        <v>1318.7995920000001</v>
      </c>
      <c r="AO52" s="6">
        <f>Site2!P71</f>
        <v>1340.7795852000002</v>
      </c>
      <c r="AQ52" s="6">
        <f>Site3!E71</f>
        <v>128.18</v>
      </c>
      <c r="AR52" s="6">
        <f>Site3!F71</f>
        <v>808.0232532</v>
      </c>
      <c r="AS52" s="6">
        <f>Site3!G71</f>
        <v>823.8668464000001</v>
      </c>
      <c r="AT52" s="6">
        <f>Site3!H71</f>
        <v>839.71043960000009</v>
      </c>
      <c r="AU52" s="6">
        <f>Site3!I71</f>
        <v>855.55403280000007</v>
      </c>
      <c r="AV52" s="6">
        <f>Site3!J71</f>
        <v>871.39762600000006</v>
      </c>
      <c r="AW52" s="6">
        <f>Site3!K71</f>
        <v>887.24121920000027</v>
      </c>
      <c r="AX52" s="6">
        <f>Site3!L71</f>
        <v>903.08481240000015</v>
      </c>
      <c r="AY52" s="6">
        <f>Site3!M71</f>
        <v>918.92840560000013</v>
      </c>
      <c r="AZ52" s="6">
        <f>Site3!N71</f>
        <v>934.77199880000001</v>
      </c>
      <c r="BA52" s="6">
        <f>Site3!O71</f>
        <v>950.61559199999999</v>
      </c>
      <c r="BB52" s="6">
        <f>Site3!P71</f>
        <v>966.45918520000009</v>
      </c>
      <c r="BD52" s="6">
        <f>Site4!E71</f>
        <v>65.25</v>
      </c>
      <c r="BE52" s="6">
        <f>Site4!F71</f>
        <v>921.31465320000007</v>
      </c>
      <c r="BF52" s="6">
        <f>Site4!G71</f>
        <v>1052.4796463999999</v>
      </c>
      <c r="BG52" s="6">
        <f>Site4!H71</f>
        <v>1072.7196395999999</v>
      </c>
      <c r="BH52" s="6">
        <f>Site4!I71</f>
        <v>1092.9596328</v>
      </c>
      <c r="BI52" s="6">
        <f>Site4!J71</f>
        <v>1113.1996260000001</v>
      </c>
      <c r="BJ52" s="6">
        <f>Site4!K71</f>
        <v>1133.4396192000002</v>
      </c>
      <c r="BK52" s="6">
        <f>Site4!L71</f>
        <v>1153.6796124000002</v>
      </c>
      <c r="BL52" s="6">
        <f>Site4!M71</f>
        <v>1173.9196056000001</v>
      </c>
      <c r="BM52" s="6">
        <f>Site4!N71</f>
        <v>1194.1595987999999</v>
      </c>
      <c r="BN52" s="6">
        <f>Site4!O71</f>
        <v>1214.399592</v>
      </c>
      <c r="BO52" s="6">
        <f>Site4!P71</f>
        <v>1234.6395852000001</v>
      </c>
      <c r="BQ52" s="6">
        <f>Site5!E71</f>
        <v>750.99966000000006</v>
      </c>
      <c r="BR52" s="6">
        <f>Site5!F71</f>
        <v>943.49965320000001</v>
      </c>
      <c r="BS52" s="6">
        <f>Site5!G71</f>
        <v>1052.4796463999999</v>
      </c>
      <c r="BT52" s="6">
        <f>Site5!H71</f>
        <v>1072.7196395999999</v>
      </c>
      <c r="BU52" s="6">
        <f>Site5!I71</f>
        <v>1092.9596328</v>
      </c>
      <c r="BV52" s="6">
        <f>Site5!J71</f>
        <v>1113.1996260000001</v>
      </c>
      <c r="BW52" s="6">
        <f>Site5!K71</f>
        <v>1133.4396192000002</v>
      </c>
      <c r="BX52" s="6">
        <f>Site5!L71</f>
        <v>1153.6796124000002</v>
      </c>
      <c r="BY52" s="6">
        <f>Site5!M71</f>
        <v>1173.9196056000001</v>
      </c>
      <c r="BZ52" s="6">
        <f>Site5!N71</f>
        <v>1194.1595987999999</v>
      </c>
      <c r="CA52" s="6">
        <f>Site5!O71</f>
        <v>1214.399592</v>
      </c>
      <c r="CB52" s="6">
        <f>Site5!P71</f>
        <v>1234.6395852000001</v>
      </c>
      <c r="CD52" s="6">
        <f>Site6!E71</f>
        <v>0</v>
      </c>
      <c r="CE52" s="6">
        <f>Site6!F71</f>
        <v>0</v>
      </c>
      <c r="CF52" s="6">
        <f>Site6!G71</f>
        <v>67.86</v>
      </c>
      <c r="CG52" s="6">
        <f>Site6!H71</f>
        <v>957.44463960000007</v>
      </c>
      <c r="CH52" s="6">
        <f>Site6!I71</f>
        <v>1092.9596328</v>
      </c>
      <c r="CI52" s="6">
        <f>Site6!J71</f>
        <v>1113.1996260000001</v>
      </c>
      <c r="CJ52" s="6">
        <f>Site6!K71</f>
        <v>1133.4396192000002</v>
      </c>
      <c r="CK52" s="6">
        <f>Site6!L71</f>
        <v>1153.6796124000002</v>
      </c>
      <c r="CL52" s="6">
        <f>Site6!M71</f>
        <v>1173.9196056000001</v>
      </c>
      <c r="CM52" s="6">
        <f>Site6!N71</f>
        <v>1194.1595987999999</v>
      </c>
      <c r="CN52" s="6">
        <f>Site6!O71</f>
        <v>1214.399592</v>
      </c>
      <c r="CO52" s="6">
        <f>Site6!P71</f>
        <v>1234.6395852000001</v>
      </c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s="2" customFormat="1" hidden="1" outlineLevel="1" x14ac:dyDescent="0.25">
      <c r="A53" s="18">
        <v>6261</v>
      </c>
      <c r="B53" s="18" t="s">
        <v>386</v>
      </c>
      <c r="D53" s="154">
        <f t="shared" si="10"/>
        <v>1230.6812</v>
      </c>
      <c r="E53" s="154">
        <f t="shared" si="11"/>
        <v>1255.2948240000001</v>
      </c>
      <c r="F53" s="154">
        <f t="shared" si="12"/>
        <v>1607.32897</v>
      </c>
      <c r="G53" s="154">
        <f t="shared" si="13"/>
        <v>1638.2391425000001</v>
      </c>
      <c r="H53" s="154">
        <f t="shared" si="14"/>
        <v>1669.1493150000003</v>
      </c>
      <c r="I53" s="154">
        <f t="shared" si="15"/>
        <v>1700.0594875000004</v>
      </c>
      <c r="J53" s="154">
        <f t="shared" si="16"/>
        <v>1730.9696600000002</v>
      </c>
      <c r="K53" s="154">
        <f t="shared" si="17"/>
        <v>2120.7830970000009</v>
      </c>
      <c r="L53" s="154">
        <f t="shared" si="18"/>
        <v>2523.1896310000002</v>
      </c>
      <c r="M53" s="154">
        <f t="shared" si="19"/>
        <v>2938.1892619999999</v>
      </c>
      <c r="N53" s="154">
        <f t="shared" si="20"/>
        <v>2987.9890800000007</v>
      </c>
      <c r="O53" s="154">
        <f t="shared" si="21"/>
        <v>3037.7888980000002</v>
      </c>
      <c r="Q53" s="6">
        <f>Site1!E72</f>
        <v>686.89620000000002</v>
      </c>
      <c r="R53" s="6">
        <f>Site1!F72</f>
        <v>700.63412400000004</v>
      </c>
      <c r="S53" s="6">
        <f>Site1!G72</f>
        <v>714.37204800000006</v>
      </c>
      <c r="T53" s="6">
        <f>Site1!H72</f>
        <v>728.10997199999997</v>
      </c>
      <c r="U53" s="6">
        <f>Site1!I72</f>
        <v>741.84789600000011</v>
      </c>
      <c r="V53" s="6">
        <f>Site1!J72</f>
        <v>755.58582000000013</v>
      </c>
      <c r="W53" s="6">
        <f>Site1!K72</f>
        <v>769.32374400000003</v>
      </c>
      <c r="X53" s="6">
        <f>Site1!L72</f>
        <v>783.06166800000028</v>
      </c>
      <c r="Y53" s="6">
        <f>Site1!M72</f>
        <v>796.79959199999996</v>
      </c>
      <c r="Z53" s="6">
        <f>Site1!N72</f>
        <v>810.5375160000001</v>
      </c>
      <c r="AA53" s="6">
        <f>Site1!O72</f>
        <v>824.27544000000012</v>
      </c>
      <c r="AB53" s="6">
        <f>Site1!P72</f>
        <v>838.01336400000002</v>
      </c>
      <c r="AD53" s="6">
        <f>Site2!E72</f>
        <v>543.78499999999997</v>
      </c>
      <c r="AE53" s="6">
        <f>Site2!F72</f>
        <v>554.66070000000002</v>
      </c>
      <c r="AF53" s="6">
        <f>Site2!G72</f>
        <v>565.53639999999996</v>
      </c>
      <c r="AG53" s="6">
        <f>Site2!H72</f>
        <v>576.41210000000001</v>
      </c>
      <c r="AH53" s="6">
        <f>Site2!I72</f>
        <v>587.28780000000006</v>
      </c>
      <c r="AI53" s="6">
        <f>Site2!J72</f>
        <v>598.16350000000011</v>
      </c>
      <c r="AJ53" s="6">
        <f>Site2!K72</f>
        <v>609.03920000000005</v>
      </c>
      <c r="AK53" s="6">
        <f>Site2!L72</f>
        <v>619.9149000000001</v>
      </c>
      <c r="AL53" s="6">
        <f>Site2!M72</f>
        <v>630.79060000000004</v>
      </c>
      <c r="AM53" s="6">
        <f>Site2!N72</f>
        <v>641.66630000000009</v>
      </c>
      <c r="AN53" s="6">
        <f>Site2!O72</f>
        <v>652.54200000000003</v>
      </c>
      <c r="AO53" s="6">
        <f>Site2!P72</f>
        <v>663.41770000000008</v>
      </c>
      <c r="AQ53" s="6">
        <f>Site3!E72</f>
        <v>0</v>
      </c>
      <c r="AR53" s="6">
        <f>Site3!F72</f>
        <v>0</v>
      </c>
      <c r="AS53" s="6">
        <f>Site3!G72</f>
        <v>0</v>
      </c>
      <c r="AT53" s="6">
        <f>Site3!H72</f>
        <v>0</v>
      </c>
      <c r="AU53" s="6">
        <f>Site3!I72</f>
        <v>0</v>
      </c>
      <c r="AV53" s="6">
        <f>Site3!J72</f>
        <v>0</v>
      </c>
      <c r="AW53" s="6">
        <f>Site3!K72</f>
        <v>0</v>
      </c>
      <c r="AX53" s="6">
        <f>Site3!L72</f>
        <v>0</v>
      </c>
      <c r="AY53" s="6">
        <f>Site3!M72</f>
        <v>365.19981300000001</v>
      </c>
      <c r="AZ53" s="6">
        <f>Site3!N72</f>
        <v>371.49636149999998</v>
      </c>
      <c r="BA53" s="6">
        <f>Site3!O72</f>
        <v>377.79291000000006</v>
      </c>
      <c r="BB53" s="6">
        <f>Site3!P72</f>
        <v>384.08945850000003</v>
      </c>
      <c r="BD53" s="6">
        <f>Site4!E72</f>
        <v>0</v>
      </c>
      <c r="BE53" s="6">
        <f>Site4!F72</f>
        <v>0</v>
      </c>
      <c r="BF53" s="6">
        <f>Site4!G72</f>
        <v>0</v>
      </c>
      <c r="BG53" s="6">
        <f>Site4!H72</f>
        <v>0</v>
      </c>
      <c r="BH53" s="6">
        <f>Site4!I72</f>
        <v>0</v>
      </c>
      <c r="BI53" s="6">
        <f>Site4!J72</f>
        <v>0</v>
      </c>
      <c r="BJ53" s="6">
        <f>Site4!K72</f>
        <v>0</v>
      </c>
      <c r="BK53" s="6">
        <f>Site4!L72</f>
        <v>358.90326450000009</v>
      </c>
      <c r="BL53" s="6">
        <f>Site4!M72</f>
        <v>365.19981300000001</v>
      </c>
      <c r="BM53" s="6">
        <f>Site4!N72</f>
        <v>371.49636149999998</v>
      </c>
      <c r="BN53" s="6">
        <f>Site4!O72</f>
        <v>377.79291000000006</v>
      </c>
      <c r="BO53" s="6">
        <f>Site4!P72</f>
        <v>384.08945850000003</v>
      </c>
      <c r="BQ53" s="6">
        <f>Site5!E72</f>
        <v>0</v>
      </c>
      <c r="BR53" s="6">
        <f>Site5!F72</f>
        <v>0</v>
      </c>
      <c r="BS53" s="6">
        <f>Site5!G72</f>
        <v>327.42052200000001</v>
      </c>
      <c r="BT53" s="6">
        <f>Site5!H72</f>
        <v>333.71707050000003</v>
      </c>
      <c r="BU53" s="6">
        <f>Site5!I72</f>
        <v>340.01361900000006</v>
      </c>
      <c r="BV53" s="6">
        <f>Site5!J72</f>
        <v>346.31016750000003</v>
      </c>
      <c r="BW53" s="6">
        <f>Site5!K72</f>
        <v>352.60671600000012</v>
      </c>
      <c r="BX53" s="6">
        <f>Site5!L72</f>
        <v>358.90326450000009</v>
      </c>
      <c r="BY53" s="6">
        <f>Site5!M72</f>
        <v>365.19981300000001</v>
      </c>
      <c r="BZ53" s="6">
        <f>Site5!N72</f>
        <v>742.99272299999996</v>
      </c>
      <c r="CA53" s="6">
        <f>Site5!O72</f>
        <v>755.58582000000013</v>
      </c>
      <c r="CB53" s="6">
        <f>Site5!P72</f>
        <v>768.17891700000007</v>
      </c>
      <c r="CD53" s="6">
        <f>Site6!E72</f>
        <v>0</v>
      </c>
      <c r="CE53" s="6">
        <f>Site6!F72</f>
        <v>0</v>
      </c>
      <c r="CF53" s="6">
        <f>Site6!G72</f>
        <v>0</v>
      </c>
      <c r="CG53" s="6">
        <f>Site6!H72</f>
        <v>0</v>
      </c>
      <c r="CH53" s="6">
        <f>Site6!I72</f>
        <v>0</v>
      </c>
      <c r="CI53" s="6">
        <f>Site6!J72</f>
        <v>0</v>
      </c>
      <c r="CJ53" s="6">
        <f>Site6!K72</f>
        <v>0</v>
      </c>
      <c r="CK53" s="6">
        <f>Site6!L72</f>
        <v>0</v>
      </c>
      <c r="CL53" s="6">
        <f>Site6!M72</f>
        <v>0</v>
      </c>
      <c r="CM53" s="6">
        <f>Site6!N72</f>
        <v>0</v>
      </c>
      <c r="CN53" s="6">
        <f>Site6!O72</f>
        <v>0</v>
      </c>
      <c r="CO53" s="6">
        <f>Site6!P72</f>
        <v>0</v>
      </c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s="2" customFormat="1" hidden="1" outlineLevel="1" x14ac:dyDescent="0.25">
      <c r="A54" s="18">
        <v>6264</v>
      </c>
      <c r="B54" s="18" t="s">
        <v>387</v>
      </c>
      <c r="D54" s="154">
        <f t="shared" si="10"/>
        <v>4300.8450000000003</v>
      </c>
      <c r="E54" s="154">
        <f t="shared" si="11"/>
        <v>4386.8619000000008</v>
      </c>
      <c r="F54" s="154">
        <f t="shared" si="12"/>
        <v>5346.8896000000004</v>
      </c>
      <c r="G54" s="154">
        <f t="shared" si="13"/>
        <v>5449.7143999999998</v>
      </c>
      <c r="H54" s="154">
        <f t="shared" si="14"/>
        <v>5552.5391999999993</v>
      </c>
      <c r="I54" s="154">
        <f t="shared" si="15"/>
        <v>5655.3640000000014</v>
      </c>
      <c r="J54" s="154">
        <f t="shared" si="16"/>
        <v>5758.1888000000008</v>
      </c>
      <c r="K54" s="154">
        <f t="shared" si="17"/>
        <v>5861.0136000000002</v>
      </c>
      <c r="L54" s="154">
        <f t="shared" si="18"/>
        <v>5963.8384000000005</v>
      </c>
      <c r="M54" s="154">
        <f t="shared" si="19"/>
        <v>6066.6632000000009</v>
      </c>
      <c r="N54" s="154">
        <f t="shared" si="20"/>
        <v>6169.4880000000012</v>
      </c>
      <c r="O54" s="154">
        <f t="shared" si="21"/>
        <v>6272.3127999999997</v>
      </c>
      <c r="Q54" s="6">
        <f>Site1!E73</f>
        <v>840.39499999999998</v>
      </c>
      <c r="R54" s="6">
        <f>Site1!F73</f>
        <v>857.20290000000011</v>
      </c>
      <c r="S54" s="6">
        <f>Site1!G73</f>
        <v>874.01080000000002</v>
      </c>
      <c r="T54" s="6">
        <f>Site1!H73</f>
        <v>890.81869999999992</v>
      </c>
      <c r="U54" s="6">
        <f>Site1!I73</f>
        <v>907.62660000000005</v>
      </c>
      <c r="V54" s="6">
        <f>Site1!J73</f>
        <v>924.43450000000018</v>
      </c>
      <c r="W54" s="6">
        <f>Site1!K73</f>
        <v>941.2424000000002</v>
      </c>
      <c r="X54" s="6">
        <f>Site1!L73</f>
        <v>958.05030000000011</v>
      </c>
      <c r="Y54" s="6">
        <f>Site1!M73</f>
        <v>974.85820000000012</v>
      </c>
      <c r="Z54" s="6">
        <f>Site1!N73</f>
        <v>991.66610000000003</v>
      </c>
      <c r="AA54" s="6">
        <f>Site1!O73</f>
        <v>1008.4740000000002</v>
      </c>
      <c r="AB54" s="6">
        <f>Site1!P73</f>
        <v>1025.2819</v>
      </c>
      <c r="AD54" s="6">
        <f>Site2!E73</f>
        <v>889.83</v>
      </c>
      <c r="AE54" s="6">
        <f>Site2!F73</f>
        <v>907.62660000000005</v>
      </c>
      <c r="AF54" s="6">
        <f>Site2!G73</f>
        <v>925.42320000000007</v>
      </c>
      <c r="AG54" s="6">
        <f>Site2!H73</f>
        <v>943.21979999999996</v>
      </c>
      <c r="AH54" s="6">
        <f>Site2!I73</f>
        <v>961.01639999999998</v>
      </c>
      <c r="AI54" s="6">
        <f>Site2!J73</f>
        <v>978.81300000000022</v>
      </c>
      <c r="AJ54" s="6">
        <f>Site2!K73</f>
        <v>996.60960000000023</v>
      </c>
      <c r="AK54" s="6">
        <f>Site2!L73</f>
        <v>1014.4062000000001</v>
      </c>
      <c r="AL54" s="6">
        <f>Site2!M73</f>
        <v>1032.2028</v>
      </c>
      <c r="AM54" s="6">
        <f>Site2!N73</f>
        <v>1049.9994000000002</v>
      </c>
      <c r="AN54" s="6">
        <f>Site2!O73</f>
        <v>1067.796</v>
      </c>
      <c r="AO54" s="6">
        <f>Site2!P73</f>
        <v>1085.5926000000002</v>
      </c>
      <c r="AQ54" s="6">
        <f>Site3!E73</f>
        <v>840.39499999999998</v>
      </c>
      <c r="AR54" s="6">
        <f>Site3!F73</f>
        <v>857.20290000000011</v>
      </c>
      <c r="AS54" s="6">
        <f>Site3!G73</f>
        <v>874.01080000000002</v>
      </c>
      <c r="AT54" s="6">
        <f>Site3!H73</f>
        <v>890.81869999999992</v>
      </c>
      <c r="AU54" s="6">
        <f>Site3!I73</f>
        <v>907.62660000000005</v>
      </c>
      <c r="AV54" s="6">
        <f>Site3!J73</f>
        <v>924.43450000000018</v>
      </c>
      <c r="AW54" s="6">
        <f>Site3!K73</f>
        <v>941.2424000000002</v>
      </c>
      <c r="AX54" s="6">
        <f>Site3!L73</f>
        <v>958.05030000000011</v>
      </c>
      <c r="AY54" s="6">
        <f>Site3!M73</f>
        <v>974.85820000000012</v>
      </c>
      <c r="AZ54" s="6">
        <f>Site3!N73</f>
        <v>991.66610000000003</v>
      </c>
      <c r="BA54" s="6">
        <f>Site3!O73</f>
        <v>1008.4740000000002</v>
      </c>
      <c r="BB54" s="6">
        <f>Site3!P73</f>
        <v>1025.2819</v>
      </c>
      <c r="BD54" s="6">
        <f>Site4!E73</f>
        <v>840.39499999999998</v>
      </c>
      <c r="BE54" s="6">
        <f>Site4!F73</f>
        <v>857.20290000000011</v>
      </c>
      <c r="BF54" s="6">
        <f>Site4!G73</f>
        <v>874.01080000000002</v>
      </c>
      <c r="BG54" s="6">
        <f>Site4!H73</f>
        <v>890.81869999999992</v>
      </c>
      <c r="BH54" s="6">
        <f>Site4!I73</f>
        <v>907.62660000000005</v>
      </c>
      <c r="BI54" s="6">
        <f>Site4!J73</f>
        <v>924.43450000000018</v>
      </c>
      <c r="BJ54" s="6">
        <f>Site4!K73</f>
        <v>941.2424000000002</v>
      </c>
      <c r="BK54" s="6">
        <f>Site4!L73</f>
        <v>958.05030000000011</v>
      </c>
      <c r="BL54" s="6">
        <f>Site4!M73</f>
        <v>974.85820000000012</v>
      </c>
      <c r="BM54" s="6">
        <f>Site4!N73</f>
        <v>991.66610000000003</v>
      </c>
      <c r="BN54" s="6">
        <f>Site4!O73</f>
        <v>1008.4740000000002</v>
      </c>
      <c r="BO54" s="6">
        <f>Site4!P73</f>
        <v>1025.2819</v>
      </c>
      <c r="BQ54" s="6">
        <f>Site5!E73</f>
        <v>889.83</v>
      </c>
      <c r="BR54" s="6">
        <f>Site5!F73</f>
        <v>907.62660000000005</v>
      </c>
      <c r="BS54" s="6">
        <f>Site5!G73</f>
        <v>925.42320000000007</v>
      </c>
      <c r="BT54" s="6">
        <f>Site5!H73</f>
        <v>943.21979999999996</v>
      </c>
      <c r="BU54" s="6">
        <f>Site5!I73</f>
        <v>961.01639999999998</v>
      </c>
      <c r="BV54" s="6">
        <f>Site5!J73</f>
        <v>978.81300000000022</v>
      </c>
      <c r="BW54" s="6">
        <f>Site5!K73</f>
        <v>996.60960000000023</v>
      </c>
      <c r="BX54" s="6">
        <f>Site5!L73</f>
        <v>1014.4062000000001</v>
      </c>
      <c r="BY54" s="6">
        <f>Site5!M73</f>
        <v>1032.2028</v>
      </c>
      <c r="BZ54" s="6">
        <f>Site5!N73</f>
        <v>1049.9994000000002</v>
      </c>
      <c r="CA54" s="6">
        <f>Site5!O73</f>
        <v>1067.796</v>
      </c>
      <c r="CB54" s="6">
        <f>Site5!P73</f>
        <v>1085.5926000000002</v>
      </c>
      <c r="CD54" s="6">
        <f>Site6!E73</f>
        <v>0</v>
      </c>
      <c r="CE54" s="6">
        <f>Site6!F73</f>
        <v>0</v>
      </c>
      <c r="CF54" s="6">
        <f>Site6!G73</f>
        <v>874.01080000000002</v>
      </c>
      <c r="CG54" s="6">
        <f>Site6!H73</f>
        <v>890.81869999999992</v>
      </c>
      <c r="CH54" s="6">
        <f>Site6!I73</f>
        <v>907.62660000000005</v>
      </c>
      <c r="CI54" s="6">
        <f>Site6!J73</f>
        <v>924.43450000000018</v>
      </c>
      <c r="CJ54" s="6">
        <f>Site6!K73</f>
        <v>941.2424000000002</v>
      </c>
      <c r="CK54" s="6">
        <f>Site6!L73</f>
        <v>958.05030000000011</v>
      </c>
      <c r="CL54" s="6">
        <f>Site6!M73</f>
        <v>974.85820000000012</v>
      </c>
      <c r="CM54" s="6">
        <f>Site6!N73</f>
        <v>991.66610000000003</v>
      </c>
      <c r="CN54" s="6">
        <f>Site6!O73</f>
        <v>1008.4740000000002</v>
      </c>
      <c r="CO54" s="6">
        <f>Site6!P73</f>
        <v>1025.2819</v>
      </c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2" customFormat="1" hidden="1" outlineLevel="1" x14ac:dyDescent="0.25">
      <c r="A55" s="18">
        <v>6267</v>
      </c>
      <c r="B55" s="18" t="s">
        <v>388</v>
      </c>
      <c r="D55" s="154">
        <f t="shared" si="10"/>
        <v>2337.1924000000004</v>
      </c>
      <c r="E55" s="154">
        <f t="shared" si="11"/>
        <v>2335.4470799999999</v>
      </c>
      <c r="F55" s="154">
        <f t="shared" si="12"/>
        <v>2381.2401600000003</v>
      </c>
      <c r="G55" s="154">
        <f t="shared" si="13"/>
        <v>2912.4398880000003</v>
      </c>
      <c r="H55" s="154">
        <f t="shared" si="14"/>
        <v>2967.391584</v>
      </c>
      <c r="I55" s="154">
        <f t="shared" si="15"/>
        <v>3022.34328</v>
      </c>
      <c r="J55" s="154">
        <f t="shared" si="16"/>
        <v>3077.2949760000006</v>
      </c>
      <c r="K55" s="154">
        <f t="shared" si="17"/>
        <v>3132.2466720000002</v>
      </c>
      <c r="L55" s="154">
        <f t="shared" si="18"/>
        <v>3187.1983680000003</v>
      </c>
      <c r="M55" s="154">
        <f t="shared" si="19"/>
        <v>3242.1500640000004</v>
      </c>
      <c r="N55" s="154">
        <f t="shared" si="20"/>
        <v>3297.10176</v>
      </c>
      <c r="O55" s="154">
        <f t="shared" si="21"/>
        <v>3352.0534560000001</v>
      </c>
      <c r="Q55" s="6">
        <f>Site1!E74</f>
        <v>987.93080000000009</v>
      </c>
      <c r="R55" s="6">
        <f>Site1!F74</f>
        <v>467.08941599999997</v>
      </c>
      <c r="S55" s="6">
        <f>Site1!G74</f>
        <v>476.24803200000002</v>
      </c>
      <c r="T55" s="6">
        <f>Site1!H74</f>
        <v>485.40664800000002</v>
      </c>
      <c r="U55" s="6">
        <f>Site1!I74</f>
        <v>494.56526400000001</v>
      </c>
      <c r="V55" s="6">
        <f>Site1!J74</f>
        <v>503.72388000000001</v>
      </c>
      <c r="W55" s="6">
        <f>Site1!K74</f>
        <v>512.88249600000006</v>
      </c>
      <c r="X55" s="6">
        <f>Site1!L74</f>
        <v>522.04111200000011</v>
      </c>
      <c r="Y55" s="6">
        <f>Site1!M74</f>
        <v>531.19972800000005</v>
      </c>
      <c r="Z55" s="6">
        <f>Site1!N74</f>
        <v>540.35834399999999</v>
      </c>
      <c r="AA55" s="6">
        <f>Site1!O74</f>
        <v>549.51696000000004</v>
      </c>
      <c r="AB55" s="6">
        <f>Site1!P74</f>
        <v>558.67557599999998</v>
      </c>
      <c r="AD55" s="6">
        <f>Site2!E74</f>
        <v>697.93079999999998</v>
      </c>
      <c r="AE55" s="6">
        <f>Site2!F74</f>
        <v>467.08941599999997</v>
      </c>
      <c r="AF55" s="6">
        <f>Site2!G74</f>
        <v>476.24803200000002</v>
      </c>
      <c r="AG55" s="6">
        <f>Site2!H74</f>
        <v>485.40664800000002</v>
      </c>
      <c r="AH55" s="6">
        <f>Site2!I74</f>
        <v>494.56526400000001</v>
      </c>
      <c r="AI55" s="6">
        <f>Site2!J74</f>
        <v>503.72388000000001</v>
      </c>
      <c r="AJ55" s="6">
        <f>Site2!K74</f>
        <v>512.88249600000006</v>
      </c>
      <c r="AK55" s="6">
        <f>Site2!L74</f>
        <v>522.04111200000011</v>
      </c>
      <c r="AL55" s="6">
        <f>Site2!M74</f>
        <v>531.19972800000005</v>
      </c>
      <c r="AM55" s="6">
        <f>Site2!N74</f>
        <v>540.35834399999999</v>
      </c>
      <c r="AN55" s="6">
        <f>Site2!O74</f>
        <v>549.51696000000004</v>
      </c>
      <c r="AO55" s="6">
        <f>Site2!P74</f>
        <v>558.67557599999998</v>
      </c>
      <c r="AQ55" s="6">
        <f>Site3!E74</f>
        <v>88.4</v>
      </c>
      <c r="AR55" s="6">
        <f>Site3!F74</f>
        <v>467.08941599999997</v>
      </c>
      <c r="AS55" s="6">
        <f>Site3!G74</f>
        <v>476.24803200000002</v>
      </c>
      <c r="AT55" s="6">
        <f>Site3!H74</f>
        <v>485.40664800000002</v>
      </c>
      <c r="AU55" s="6">
        <f>Site3!I74</f>
        <v>494.56526400000001</v>
      </c>
      <c r="AV55" s="6">
        <f>Site3!J74</f>
        <v>503.72388000000001</v>
      </c>
      <c r="AW55" s="6">
        <f>Site3!K74</f>
        <v>512.88249600000006</v>
      </c>
      <c r="AX55" s="6">
        <f>Site3!L74</f>
        <v>522.04111200000011</v>
      </c>
      <c r="AY55" s="6">
        <f>Site3!M74</f>
        <v>531.19972800000005</v>
      </c>
      <c r="AZ55" s="6">
        <f>Site3!N74</f>
        <v>540.35834399999999</v>
      </c>
      <c r="BA55" s="6">
        <f>Site3!O74</f>
        <v>549.51696000000004</v>
      </c>
      <c r="BB55" s="6">
        <f>Site3!P74</f>
        <v>558.67557599999998</v>
      </c>
      <c r="BD55" s="6">
        <f>Site4!E74</f>
        <v>45</v>
      </c>
      <c r="BE55" s="6">
        <f>Site4!F74</f>
        <v>467.08941599999997</v>
      </c>
      <c r="BF55" s="6">
        <f>Site4!G74</f>
        <v>476.24803200000002</v>
      </c>
      <c r="BG55" s="6">
        <f>Site4!H74</f>
        <v>485.40664800000002</v>
      </c>
      <c r="BH55" s="6">
        <f>Site4!I74</f>
        <v>494.56526400000001</v>
      </c>
      <c r="BI55" s="6">
        <f>Site4!J74</f>
        <v>503.72388000000001</v>
      </c>
      <c r="BJ55" s="6">
        <f>Site4!K74</f>
        <v>512.88249600000006</v>
      </c>
      <c r="BK55" s="6">
        <f>Site4!L74</f>
        <v>522.04111200000011</v>
      </c>
      <c r="BL55" s="6">
        <f>Site4!M74</f>
        <v>531.19972800000005</v>
      </c>
      <c r="BM55" s="6">
        <f>Site4!N74</f>
        <v>540.35834399999999</v>
      </c>
      <c r="BN55" s="6">
        <f>Site4!O74</f>
        <v>549.51696000000004</v>
      </c>
      <c r="BO55" s="6">
        <f>Site4!P74</f>
        <v>558.67557599999998</v>
      </c>
      <c r="BQ55" s="6">
        <f>Site5!E74</f>
        <v>517.93079999999998</v>
      </c>
      <c r="BR55" s="6">
        <f>Site5!F74</f>
        <v>467.08941599999997</v>
      </c>
      <c r="BS55" s="6">
        <f>Site5!G74</f>
        <v>476.24803200000002</v>
      </c>
      <c r="BT55" s="6">
        <f>Site5!H74</f>
        <v>485.40664800000002</v>
      </c>
      <c r="BU55" s="6">
        <f>Site5!I74</f>
        <v>494.56526400000001</v>
      </c>
      <c r="BV55" s="6">
        <f>Site5!J74</f>
        <v>503.72388000000001</v>
      </c>
      <c r="BW55" s="6">
        <f>Site5!K74</f>
        <v>512.88249600000006</v>
      </c>
      <c r="BX55" s="6">
        <f>Site5!L74</f>
        <v>522.04111200000011</v>
      </c>
      <c r="BY55" s="6">
        <f>Site5!M74</f>
        <v>531.19972800000005</v>
      </c>
      <c r="BZ55" s="6">
        <f>Site5!N74</f>
        <v>540.35834399999999</v>
      </c>
      <c r="CA55" s="6">
        <f>Site5!O74</f>
        <v>549.51696000000004</v>
      </c>
      <c r="CB55" s="6">
        <f>Site5!P74</f>
        <v>558.67557599999998</v>
      </c>
      <c r="CD55" s="6">
        <f>Site6!E74</f>
        <v>0</v>
      </c>
      <c r="CE55" s="6">
        <f>Site6!F74</f>
        <v>0</v>
      </c>
      <c r="CF55" s="6">
        <f>Site6!G74</f>
        <v>0</v>
      </c>
      <c r="CG55" s="6">
        <f>Site6!H74</f>
        <v>485.40664800000002</v>
      </c>
      <c r="CH55" s="6">
        <f>Site6!I74</f>
        <v>494.56526400000001</v>
      </c>
      <c r="CI55" s="6">
        <f>Site6!J74</f>
        <v>503.72388000000001</v>
      </c>
      <c r="CJ55" s="6">
        <f>Site6!K74</f>
        <v>512.88249600000006</v>
      </c>
      <c r="CK55" s="6">
        <f>Site6!L74</f>
        <v>522.04111200000011</v>
      </c>
      <c r="CL55" s="6">
        <f>Site6!M74</f>
        <v>531.19972800000005</v>
      </c>
      <c r="CM55" s="6">
        <f>Site6!N74</f>
        <v>540.35834399999999</v>
      </c>
      <c r="CN55" s="6">
        <f>Site6!O74</f>
        <v>549.51696000000004</v>
      </c>
      <c r="CO55" s="6">
        <f>Site6!P74</f>
        <v>558.67557599999998</v>
      </c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s="2" customFormat="1" hidden="1" outlineLevel="1" x14ac:dyDescent="0.25">
      <c r="A56" s="18">
        <v>6271</v>
      </c>
      <c r="B56" s="18" t="s">
        <v>389</v>
      </c>
      <c r="D56" s="154">
        <f t="shared" si="10"/>
        <v>861.47684000000004</v>
      </c>
      <c r="E56" s="154">
        <f t="shared" si="11"/>
        <v>878.70637680000004</v>
      </c>
      <c r="F56" s="154">
        <f t="shared" si="12"/>
        <v>1125.130279</v>
      </c>
      <c r="G56" s="154">
        <f t="shared" si="13"/>
        <v>1146.7673997500001</v>
      </c>
      <c r="H56" s="154">
        <f t="shared" si="14"/>
        <v>1168.4045205000002</v>
      </c>
      <c r="I56" s="154">
        <f t="shared" si="15"/>
        <v>1190.0416412500001</v>
      </c>
      <c r="J56" s="154">
        <f t="shared" si="16"/>
        <v>1211.6787620000002</v>
      </c>
      <c r="K56" s="154">
        <f t="shared" si="17"/>
        <v>1484.5481679000004</v>
      </c>
      <c r="L56" s="154">
        <f t="shared" si="18"/>
        <v>1766.2327416999999</v>
      </c>
      <c r="M56" s="154">
        <f t="shared" si="19"/>
        <v>2056.7324834000001</v>
      </c>
      <c r="N56" s="154">
        <f t="shared" si="20"/>
        <v>2091.5923560000001</v>
      </c>
      <c r="O56" s="154">
        <f t="shared" si="21"/>
        <v>2126.4522286000001</v>
      </c>
      <c r="Q56" s="6">
        <f>Site1!E75</f>
        <v>480.82733999999999</v>
      </c>
      <c r="R56" s="6">
        <f>Site1!F75</f>
        <v>490.44388680000003</v>
      </c>
      <c r="S56" s="6">
        <f>Site1!G75</f>
        <v>500.06043360000007</v>
      </c>
      <c r="T56" s="6">
        <f>Site1!H75</f>
        <v>509.67698039999999</v>
      </c>
      <c r="U56" s="6">
        <f>Site1!I75</f>
        <v>519.29352720000009</v>
      </c>
      <c r="V56" s="6">
        <f>Site1!J75</f>
        <v>528.91007400000012</v>
      </c>
      <c r="W56" s="6">
        <f>Site1!K75</f>
        <v>538.52662080000005</v>
      </c>
      <c r="X56" s="6">
        <f>Site1!L75</f>
        <v>548.1431676000002</v>
      </c>
      <c r="Y56" s="6">
        <f>Site1!M75</f>
        <v>557.75971440000001</v>
      </c>
      <c r="Z56" s="6">
        <f>Site1!N75</f>
        <v>567.37626120000004</v>
      </c>
      <c r="AA56" s="6">
        <f>Site1!O75</f>
        <v>576.99280800000008</v>
      </c>
      <c r="AB56" s="6">
        <f>Site1!P75</f>
        <v>586.60935480000001</v>
      </c>
      <c r="AD56" s="6">
        <f>Site2!E75</f>
        <v>380.64949999999999</v>
      </c>
      <c r="AE56" s="6">
        <f>Site2!F75</f>
        <v>388.26249000000001</v>
      </c>
      <c r="AF56" s="6">
        <f>Site2!G75</f>
        <v>395.87547999999998</v>
      </c>
      <c r="AG56" s="6">
        <f>Site2!H75</f>
        <v>403.48847000000001</v>
      </c>
      <c r="AH56" s="6">
        <f>Site2!I75</f>
        <v>411.10146000000003</v>
      </c>
      <c r="AI56" s="6">
        <f>Site2!J75</f>
        <v>418.71445000000006</v>
      </c>
      <c r="AJ56" s="6">
        <f>Site2!K75</f>
        <v>426.32744000000002</v>
      </c>
      <c r="AK56" s="6">
        <f>Site2!L75</f>
        <v>433.94043000000005</v>
      </c>
      <c r="AL56" s="6">
        <f>Site2!M75</f>
        <v>441.55342000000002</v>
      </c>
      <c r="AM56" s="6">
        <f>Site2!N75</f>
        <v>449.16641000000004</v>
      </c>
      <c r="AN56" s="6">
        <f>Site2!O75</f>
        <v>456.77940000000007</v>
      </c>
      <c r="AO56" s="6">
        <f>Site2!P75</f>
        <v>464.39239000000003</v>
      </c>
      <c r="AQ56" s="6">
        <f>Site3!E75</f>
        <v>0</v>
      </c>
      <c r="AR56" s="6">
        <f>Site3!F75</f>
        <v>0</v>
      </c>
      <c r="AS56" s="6">
        <f>Site3!G75</f>
        <v>0</v>
      </c>
      <c r="AT56" s="6">
        <f>Site3!H75</f>
        <v>0</v>
      </c>
      <c r="AU56" s="6">
        <f>Site3!I75</f>
        <v>0</v>
      </c>
      <c r="AV56" s="6">
        <f>Site3!J75</f>
        <v>0</v>
      </c>
      <c r="AW56" s="6">
        <f>Site3!K75</f>
        <v>0</v>
      </c>
      <c r="AX56" s="6">
        <f>Site3!L75</f>
        <v>0</v>
      </c>
      <c r="AY56" s="6">
        <f>Site3!M75</f>
        <v>255.6398691</v>
      </c>
      <c r="AZ56" s="6">
        <f>Site3!N75</f>
        <v>260.04745305</v>
      </c>
      <c r="BA56" s="6">
        <f>Site3!O75</f>
        <v>264.45503700000006</v>
      </c>
      <c r="BB56" s="6">
        <f>Site3!P75</f>
        <v>268.86262095000001</v>
      </c>
      <c r="BD56" s="6">
        <f>Site4!E75</f>
        <v>0</v>
      </c>
      <c r="BE56" s="6">
        <f>Site4!F75</f>
        <v>0</v>
      </c>
      <c r="BF56" s="6">
        <f>Site4!G75</f>
        <v>0</v>
      </c>
      <c r="BG56" s="6">
        <f>Site4!H75</f>
        <v>0</v>
      </c>
      <c r="BH56" s="6">
        <f>Site4!I75</f>
        <v>0</v>
      </c>
      <c r="BI56" s="6">
        <f>Site4!J75</f>
        <v>0</v>
      </c>
      <c r="BJ56" s="6">
        <f>Site4!K75</f>
        <v>0</v>
      </c>
      <c r="BK56" s="6">
        <f>Site4!L75</f>
        <v>251.23228515000005</v>
      </c>
      <c r="BL56" s="6">
        <f>Site4!M75</f>
        <v>255.6398691</v>
      </c>
      <c r="BM56" s="6">
        <f>Site4!N75</f>
        <v>260.04745305</v>
      </c>
      <c r="BN56" s="6">
        <f>Site4!O75</f>
        <v>264.45503700000006</v>
      </c>
      <c r="BO56" s="6">
        <f>Site4!P75</f>
        <v>268.86262095000001</v>
      </c>
      <c r="BQ56" s="6">
        <f>Site5!E75</f>
        <v>0</v>
      </c>
      <c r="BR56" s="6">
        <f>Site5!F75</f>
        <v>0</v>
      </c>
      <c r="BS56" s="6">
        <f>Site5!G75</f>
        <v>229.19436540000001</v>
      </c>
      <c r="BT56" s="6">
        <f>Site5!H75</f>
        <v>233.60194935000004</v>
      </c>
      <c r="BU56" s="6">
        <f>Site5!I75</f>
        <v>238.00953330000004</v>
      </c>
      <c r="BV56" s="6">
        <f>Site5!J75</f>
        <v>242.41711725000002</v>
      </c>
      <c r="BW56" s="6">
        <f>Site5!K75</f>
        <v>246.82470120000008</v>
      </c>
      <c r="BX56" s="6">
        <f>Site5!L75</f>
        <v>251.23228515000005</v>
      </c>
      <c r="BY56" s="6">
        <f>Site5!M75</f>
        <v>255.6398691</v>
      </c>
      <c r="BZ56" s="6">
        <f>Site5!N75</f>
        <v>520.0949061</v>
      </c>
      <c r="CA56" s="6">
        <f>Site5!O75</f>
        <v>528.91007400000012</v>
      </c>
      <c r="CB56" s="6">
        <f>Site5!P75</f>
        <v>537.72524190000001</v>
      </c>
      <c r="CD56" s="6">
        <f>Site6!E75</f>
        <v>0</v>
      </c>
      <c r="CE56" s="6">
        <f>Site6!F75</f>
        <v>0</v>
      </c>
      <c r="CF56" s="6">
        <f>Site6!G75</f>
        <v>0</v>
      </c>
      <c r="CG56" s="6">
        <f>Site6!H75</f>
        <v>0</v>
      </c>
      <c r="CH56" s="6">
        <f>Site6!I75</f>
        <v>0</v>
      </c>
      <c r="CI56" s="6">
        <f>Site6!J75</f>
        <v>0</v>
      </c>
      <c r="CJ56" s="6">
        <f>Site6!K75</f>
        <v>0</v>
      </c>
      <c r="CK56" s="6">
        <f>Site6!L75</f>
        <v>0</v>
      </c>
      <c r="CL56" s="6">
        <f>Site6!M75</f>
        <v>0</v>
      </c>
      <c r="CM56" s="6">
        <f>Site6!N75</f>
        <v>0</v>
      </c>
      <c r="CN56" s="6">
        <f>Site6!O75</f>
        <v>0</v>
      </c>
      <c r="CO56" s="6">
        <f>Site6!P75</f>
        <v>0</v>
      </c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2" customFormat="1" hidden="1" outlineLevel="1" x14ac:dyDescent="0.25">
      <c r="A57" s="18">
        <v>6274</v>
      </c>
      <c r="B57" s="18" t="s">
        <v>390</v>
      </c>
      <c r="D57" s="154">
        <f t="shared" si="10"/>
        <v>3010.5915</v>
      </c>
      <c r="E57" s="154">
        <f t="shared" si="11"/>
        <v>3070.8033300000002</v>
      </c>
      <c r="F57" s="154">
        <f t="shared" si="12"/>
        <v>3742.8227200000006</v>
      </c>
      <c r="G57" s="154">
        <f t="shared" si="13"/>
        <v>3814.80008</v>
      </c>
      <c r="H57" s="154">
        <f t="shared" si="14"/>
        <v>3886.7774399999998</v>
      </c>
      <c r="I57" s="154">
        <f t="shared" si="15"/>
        <v>3958.7548000000006</v>
      </c>
      <c r="J57" s="154">
        <f t="shared" si="16"/>
        <v>4030.7321600000014</v>
      </c>
      <c r="K57" s="154">
        <f t="shared" si="17"/>
        <v>4102.7095200000012</v>
      </c>
      <c r="L57" s="154">
        <f t="shared" si="18"/>
        <v>4174.6868800000002</v>
      </c>
      <c r="M57" s="154">
        <f t="shared" si="19"/>
        <v>4246.6642400000001</v>
      </c>
      <c r="N57" s="154">
        <f t="shared" si="20"/>
        <v>4318.6416000000008</v>
      </c>
      <c r="O57" s="154">
        <f t="shared" si="21"/>
        <v>4390.6189600000007</v>
      </c>
      <c r="Q57" s="6">
        <f>Site1!E76</f>
        <v>588.27650000000006</v>
      </c>
      <c r="R57" s="6">
        <f>Site1!F76</f>
        <v>600.04203000000007</v>
      </c>
      <c r="S57" s="6">
        <f>Site1!G76</f>
        <v>611.80756000000008</v>
      </c>
      <c r="T57" s="6">
        <f>Site1!H76</f>
        <v>623.57308999999998</v>
      </c>
      <c r="U57" s="6">
        <f>Site1!I76</f>
        <v>635.33861999999999</v>
      </c>
      <c r="V57" s="6">
        <f>Site1!J76</f>
        <v>647.10415000000012</v>
      </c>
      <c r="W57" s="6">
        <f>Site1!K76</f>
        <v>658.86968000000013</v>
      </c>
      <c r="X57" s="6">
        <f>Site1!L76</f>
        <v>670.63521000000014</v>
      </c>
      <c r="Y57" s="6">
        <f>Site1!M76</f>
        <v>682.40074000000004</v>
      </c>
      <c r="Z57" s="6">
        <f>Site1!N76</f>
        <v>694.16627000000005</v>
      </c>
      <c r="AA57" s="6">
        <f>Site1!O76</f>
        <v>705.93180000000007</v>
      </c>
      <c r="AB57" s="6">
        <f>Site1!P76</f>
        <v>717.69733000000008</v>
      </c>
      <c r="AD57" s="6">
        <f>Site2!E76</f>
        <v>622.88099999999997</v>
      </c>
      <c r="AE57" s="6">
        <f>Site2!F76</f>
        <v>635.33861999999999</v>
      </c>
      <c r="AF57" s="6">
        <f>Site2!G76</f>
        <v>647.79624000000001</v>
      </c>
      <c r="AG57" s="6">
        <f>Site2!H76</f>
        <v>660.25386000000003</v>
      </c>
      <c r="AH57" s="6">
        <f>Site2!I76</f>
        <v>672.71148000000005</v>
      </c>
      <c r="AI57" s="6">
        <f>Site2!J76</f>
        <v>685.16910000000018</v>
      </c>
      <c r="AJ57" s="6">
        <f>Site2!K76</f>
        <v>697.6267200000002</v>
      </c>
      <c r="AK57" s="6">
        <f>Site2!L76</f>
        <v>710.08434000000011</v>
      </c>
      <c r="AL57" s="6">
        <f>Site2!M76</f>
        <v>722.54196000000002</v>
      </c>
      <c r="AM57" s="6">
        <f>Site2!N76</f>
        <v>734.99958000000004</v>
      </c>
      <c r="AN57" s="6">
        <f>Site2!O76</f>
        <v>747.45720000000006</v>
      </c>
      <c r="AO57" s="6">
        <f>Site2!P76</f>
        <v>759.91482000000008</v>
      </c>
      <c r="AQ57" s="6">
        <f>Site3!E76</f>
        <v>588.27650000000006</v>
      </c>
      <c r="AR57" s="6">
        <f>Site3!F76</f>
        <v>600.04203000000007</v>
      </c>
      <c r="AS57" s="6">
        <f>Site3!G76</f>
        <v>611.80756000000008</v>
      </c>
      <c r="AT57" s="6">
        <f>Site3!H76</f>
        <v>623.57308999999998</v>
      </c>
      <c r="AU57" s="6">
        <f>Site3!I76</f>
        <v>635.33861999999999</v>
      </c>
      <c r="AV57" s="6">
        <f>Site3!J76</f>
        <v>647.10415000000012</v>
      </c>
      <c r="AW57" s="6">
        <f>Site3!K76</f>
        <v>658.86968000000013</v>
      </c>
      <c r="AX57" s="6">
        <f>Site3!L76</f>
        <v>670.63521000000014</v>
      </c>
      <c r="AY57" s="6">
        <f>Site3!M76</f>
        <v>682.40074000000004</v>
      </c>
      <c r="AZ57" s="6">
        <f>Site3!N76</f>
        <v>694.16627000000005</v>
      </c>
      <c r="BA57" s="6">
        <f>Site3!O76</f>
        <v>705.93180000000007</v>
      </c>
      <c r="BB57" s="6">
        <f>Site3!P76</f>
        <v>717.69733000000008</v>
      </c>
      <c r="BD57" s="6">
        <f>Site4!E76</f>
        <v>588.27650000000006</v>
      </c>
      <c r="BE57" s="6">
        <f>Site4!F76</f>
        <v>600.04203000000007</v>
      </c>
      <c r="BF57" s="6">
        <f>Site4!G76</f>
        <v>611.80756000000008</v>
      </c>
      <c r="BG57" s="6">
        <f>Site4!H76</f>
        <v>623.57308999999998</v>
      </c>
      <c r="BH57" s="6">
        <f>Site4!I76</f>
        <v>635.33861999999999</v>
      </c>
      <c r="BI57" s="6">
        <f>Site4!J76</f>
        <v>647.10415000000012</v>
      </c>
      <c r="BJ57" s="6">
        <f>Site4!K76</f>
        <v>658.86968000000013</v>
      </c>
      <c r="BK57" s="6">
        <f>Site4!L76</f>
        <v>670.63521000000014</v>
      </c>
      <c r="BL57" s="6">
        <f>Site4!M76</f>
        <v>682.40074000000004</v>
      </c>
      <c r="BM57" s="6">
        <f>Site4!N76</f>
        <v>694.16627000000005</v>
      </c>
      <c r="BN57" s="6">
        <f>Site4!O76</f>
        <v>705.93180000000007</v>
      </c>
      <c r="BO57" s="6">
        <f>Site4!P76</f>
        <v>717.69733000000008</v>
      </c>
      <c r="BQ57" s="6">
        <f>Site5!E76</f>
        <v>622.88099999999997</v>
      </c>
      <c r="BR57" s="6">
        <f>Site5!F76</f>
        <v>635.33861999999999</v>
      </c>
      <c r="BS57" s="6">
        <f>Site5!G76</f>
        <v>647.79624000000001</v>
      </c>
      <c r="BT57" s="6">
        <f>Site5!H76</f>
        <v>660.25386000000003</v>
      </c>
      <c r="BU57" s="6">
        <f>Site5!I76</f>
        <v>672.71148000000005</v>
      </c>
      <c r="BV57" s="6">
        <f>Site5!J76</f>
        <v>685.16910000000018</v>
      </c>
      <c r="BW57" s="6">
        <f>Site5!K76</f>
        <v>697.6267200000002</v>
      </c>
      <c r="BX57" s="6">
        <f>Site5!L76</f>
        <v>710.08434000000011</v>
      </c>
      <c r="BY57" s="6">
        <f>Site5!M76</f>
        <v>722.54196000000002</v>
      </c>
      <c r="BZ57" s="6">
        <f>Site5!N76</f>
        <v>734.99958000000004</v>
      </c>
      <c r="CA57" s="6">
        <f>Site5!O76</f>
        <v>747.45720000000006</v>
      </c>
      <c r="CB57" s="6">
        <f>Site5!P76</f>
        <v>759.91482000000008</v>
      </c>
      <c r="CD57" s="6">
        <f>Site6!E76</f>
        <v>0</v>
      </c>
      <c r="CE57" s="6">
        <f>Site6!F76</f>
        <v>0</v>
      </c>
      <c r="CF57" s="6">
        <f>Site6!G76</f>
        <v>611.80756000000008</v>
      </c>
      <c r="CG57" s="6">
        <f>Site6!H76</f>
        <v>623.57308999999998</v>
      </c>
      <c r="CH57" s="6">
        <f>Site6!I76</f>
        <v>635.33861999999999</v>
      </c>
      <c r="CI57" s="6">
        <f>Site6!J76</f>
        <v>647.10415000000012</v>
      </c>
      <c r="CJ57" s="6">
        <f>Site6!K76</f>
        <v>658.86968000000013</v>
      </c>
      <c r="CK57" s="6">
        <f>Site6!L76</f>
        <v>670.63521000000014</v>
      </c>
      <c r="CL57" s="6">
        <f>Site6!M76</f>
        <v>682.40074000000004</v>
      </c>
      <c r="CM57" s="6">
        <f>Site6!N76</f>
        <v>694.16627000000005</v>
      </c>
      <c r="CN57" s="6">
        <f>Site6!O76</f>
        <v>705.93180000000007</v>
      </c>
      <c r="CO57" s="6">
        <f>Site6!P76</f>
        <v>717.69733000000008</v>
      </c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2" customFormat="1" hidden="1" outlineLevel="1" x14ac:dyDescent="0.25">
      <c r="A58" s="18">
        <v>6277</v>
      </c>
      <c r="B58" s="18" t="s">
        <v>391</v>
      </c>
      <c r="D58" s="154">
        <f t="shared" si="10"/>
        <v>1636.0346800000002</v>
      </c>
      <c r="E58" s="154">
        <f t="shared" si="11"/>
        <v>2536.8805560000001</v>
      </c>
      <c r="F58" s="154">
        <f t="shared" si="12"/>
        <v>2717.6633119999997</v>
      </c>
      <c r="G58" s="154">
        <f t="shared" si="13"/>
        <v>3198.7507216000004</v>
      </c>
      <c r="H58" s="154">
        <f t="shared" si="14"/>
        <v>3315.8045087999999</v>
      </c>
      <c r="I58" s="154">
        <f t="shared" si="15"/>
        <v>3377.2082959999998</v>
      </c>
      <c r="J58" s="154">
        <f t="shared" si="16"/>
        <v>3438.6120832000015</v>
      </c>
      <c r="K58" s="154">
        <f t="shared" si="17"/>
        <v>3500.0158704000009</v>
      </c>
      <c r="L58" s="154">
        <f t="shared" si="18"/>
        <v>3561.4196576000008</v>
      </c>
      <c r="M58" s="154">
        <f t="shared" si="19"/>
        <v>3622.8234448000003</v>
      </c>
      <c r="N58" s="154">
        <f t="shared" si="20"/>
        <v>3684.2272320000002</v>
      </c>
      <c r="O58" s="154">
        <f t="shared" si="21"/>
        <v>3745.6310192000001</v>
      </c>
      <c r="Q58" s="6">
        <f>Site1!E77</f>
        <v>691.55155999999999</v>
      </c>
      <c r="R58" s="6">
        <f>Site1!F77</f>
        <v>705.38259119999998</v>
      </c>
      <c r="S58" s="6">
        <f>Site1!G77</f>
        <v>719.21362239999996</v>
      </c>
      <c r="T58" s="6">
        <f>Site1!H77</f>
        <v>733.04465360000006</v>
      </c>
      <c r="U58" s="6">
        <f>Site1!I77</f>
        <v>746.87568480000004</v>
      </c>
      <c r="V58" s="6">
        <f>Site1!J77</f>
        <v>760.70671600000003</v>
      </c>
      <c r="W58" s="6">
        <f>Site1!K77</f>
        <v>774.53774720000013</v>
      </c>
      <c r="X58" s="6">
        <f>Site1!L77</f>
        <v>788.36877840000011</v>
      </c>
      <c r="Y58" s="6">
        <f>Site1!M77</f>
        <v>802.19980960000009</v>
      </c>
      <c r="Z58" s="6">
        <f>Site1!N77</f>
        <v>816.03084079999996</v>
      </c>
      <c r="AA58" s="6">
        <f>Site1!O77</f>
        <v>829.86187199999995</v>
      </c>
      <c r="AB58" s="6">
        <f>Site1!P77</f>
        <v>843.69290320000005</v>
      </c>
      <c r="AD58" s="6">
        <f>Site2!E77</f>
        <v>488.55155999999999</v>
      </c>
      <c r="AE58" s="6">
        <f>Site2!F77</f>
        <v>541.16259119999995</v>
      </c>
      <c r="AF58" s="6">
        <f>Site2!G77</f>
        <v>551.77362240000002</v>
      </c>
      <c r="AG58" s="6">
        <f>Site2!H77</f>
        <v>562.38465359999998</v>
      </c>
      <c r="AH58" s="6">
        <f>Site2!I77</f>
        <v>572.99568480000005</v>
      </c>
      <c r="AI58" s="6">
        <f>Site2!J77</f>
        <v>583.60671600000001</v>
      </c>
      <c r="AJ58" s="6">
        <f>Site2!K77</f>
        <v>594.21774720000008</v>
      </c>
      <c r="AK58" s="6">
        <f>Site2!L77</f>
        <v>604.82877840000015</v>
      </c>
      <c r="AL58" s="6">
        <f>Site2!M77</f>
        <v>615.43980959999999</v>
      </c>
      <c r="AM58" s="6">
        <f>Site2!N77</f>
        <v>626.05084079999995</v>
      </c>
      <c r="AN58" s="6">
        <f>Site2!O77</f>
        <v>636.66187200000002</v>
      </c>
      <c r="AO58" s="6">
        <f>Site2!P77</f>
        <v>647.27290319999997</v>
      </c>
      <c r="AQ58" s="6">
        <f>Site3!E77</f>
        <v>61.88</v>
      </c>
      <c r="AR58" s="6">
        <f>Site3!F77</f>
        <v>390.08019119999994</v>
      </c>
      <c r="AS58" s="6">
        <f>Site3!G77</f>
        <v>397.72882240000001</v>
      </c>
      <c r="AT58" s="6">
        <f>Site3!H77</f>
        <v>405.37745360000002</v>
      </c>
      <c r="AU58" s="6">
        <f>Site3!I77</f>
        <v>413.02608479999998</v>
      </c>
      <c r="AV58" s="6">
        <f>Site3!J77</f>
        <v>420.67471599999999</v>
      </c>
      <c r="AW58" s="6">
        <f>Site3!K77</f>
        <v>428.32334720000011</v>
      </c>
      <c r="AX58" s="6">
        <f>Site3!L77</f>
        <v>435.97197840000007</v>
      </c>
      <c r="AY58" s="6">
        <f>Site3!M77</f>
        <v>443.62060960000002</v>
      </c>
      <c r="AZ58" s="6">
        <f>Site3!N77</f>
        <v>451.26924079999998</v>
      </c>
      <c r="BA58" s="6">
        <f>Site3!O77</f>
        <v>458.91787199999999</v>
      </c>
      <c r="BB58" s="6">
        <f>Site3!P77</f>
        <v>466.56650320000006</v>
      </c>
      <c r="BD58" s="6">
        <f>Site4!E77</f>
        <v>31.5</v>
      </c>
      <c r="BE58" s="6">
        <f>Site4!F77</f>
        <v>444.77259120000002</v>
      </c>
      <c r="BF58" s="6">
        <f>Site4!G77</f>
        <v>508.09362239999996</v>
      </c>
      <c r="BG58" s="6">
        <f>Site4!H77</f>
        <v>517.8646536</v>
      </c>
      <c r="BH58" s="6">
        <f>Site4!I77</f>
        <v>527.63568480000004</v>
      </c>
      <c r="BI58" s="6">
        <f>Site4!J77</f>
        <v>537.40671600000007</v>
      </c>
      <c r="BJ58" s="6">
        <f>Site4!K77</f>
        <v>547.17774720000011</v>
      </c>
      <c r="BK58" s="6">
        <f>Site4!L77</f>
        <v>556.94877840000015</v>
      </c>
      <c r="BL58" s="6">
        <f>Site4!M77</f>
        <v>566.71980960000008</v>
      </c>
      <c r="BM58" s="6">
        <f>Site4!N77</f>
        <v>576.4908408</v>
      </c>
      <c r="BN58" s="6">
        <f>Site4!O77</f>
        <v>586.26187200000004</v>
      </c>
      <c r="BO58" s="6">
        <f>Site4!P77</f>
        <v>596.03290319999996</v>
      </c>
      <c r="BQ58" s="6">
        <f>Site5!E77</f>
        <v>362.55155999999999</v>
      </c>
      <c r="BR58" s="6">
        <f>Site5!F77</f>
        <v>455.4825912</v>
      </c>
      <c r="BS58" s="6">
        <f>Site5!G77</f>
        <v>508.09362239999996</v>
      </c>
      <c r="BT58" s="6">
        <f>Site5!H77</f>
        <v>517.8646536</v>
      </c>
      <c r="BU58" s="6">
        <f>Site5!I77</f>
        <v>527.63568480000004</v>
      </c>
      <c r="BV58" s="6">
        <f>Site5!J77</f>
        <v>537.40671600000007</v>
      </c>
      <c r="BW58" s="6">
        <f>Site5!K77</f>
        <v>547.17774720000011</v>
      </c>
      <c r="BX58" s="6">
        <f>Site5!L77</f>
        <v>556.94877840000015</v>
      </c>
      <c r="BY58" s="6">
        <f>Site5!M77</f>
        <v>566.71980960000008</v>
      </c>
      <c r="BZ58" s="6">
        <f>Site5!N77</f>
        <v>576.4908408</v>
      </c>
      <c r="CA58" s="6">
        <f>Site5!O77</f>
        <v>586.26187200000004</v>
      </c>
      <c r="CB58" s="6">
        <f>Site5!P77</f>
        <v>596.03290319999996</v>
      </c>
      <c r="CD58" s="6">
        <f>Site6!E77</f>
        <v>0</v>
      </c>
      <c r="CE58" s="6">
        <f>Site6!F77</f>
        <v>0</v>
      </c>
      <c r="CF58" s="6">
        <f>Site6!G77</f>
        <v>32.76</v>
      </c>
      <c r="CG58" s="6">
        <f>Site6!H77</f>
        <v>462.21465360000002</v>
      </c>
      <c r="CH58" s="6">
        <f>Site6!I77</f>
        <v>527.63568480000004</v>
      </c>
      <c r="CI58" s="6">
        <f>Site6!J77</f>
        <v>537.40671600000007</v>
      </c>
      <c r="CJ58" s="6">
        <f>Site6!K77</f>
        <v>547.17774720000011</v>
      </c>
      <c r="CK58" s="6">
        <f>Site6!L77</f>
        <v>556.94877840000015</v>
      </c>
      <c r="CL58" s="6">
        <f>Site6!M77</f>
        <v>566.71980960000008</v>
      </c>
      <c r="CM58" s="6">
        <f>Site6!N77</f>
        <v>576.4908408</v>
      </c>
      <c r="CN58" s="6">
        <f>Site6!O77</f>
        <v>586.26187200000004</v>
      </c>
      <c r="CO58" s="6">
        <f>Site6!P77</f>
        <v>596.03290319999996</v>
      </c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2" customFormat="1" hidden="1" outlineLevel="1" x14ac:dyDescent="0.25">
      <c r="A59" s="18">
        <v>6281</v>
      </c>
      <c r="B59" s="18" t="s">
        <v>392</v>
      </c>
      <c r="D59" s="154">
        <f t="shared" si="10"/>
        <v>8400</v>
      </c>
      <c r="E59" s="154">
        <f t="shared" si="11"/>
        <v>8736</v>
      </c>
      <c r="F59" s="154">
        <f t="shared" si="12"/>
        <v>11340</v>
      </c>
      <c r="G59" s="154">
        <f t="shared" si="13"/>
        <v>11760</v>
      </c>
      <c r="H59" s="154">
        <f t="shared" si="14"/>
        <v>12180</v>
      </c>
      <c r="I59" s="154">
        <f t="shared" si="15"/>
        <v>12600</v>
      </c>
      <c r="J59" s="154">
        <f t="shared" si="16"/>
        <v>13020</v>
      </c>
      <c r="K59" s="154">
        <f t="shared" si="17"/>
        <v>16128</v>
      </c>
      <c r="L59" s="154">
        <f t="shared" si="18"/>
        <v>19404</v>
      </c>
      <c r="M59" s="154">
        <f t="shared" si="19"/>
        <v>22847.999999999996</v>
      </c>
      <c r="N59" s="154">
        <f t="shared" si="20"/>
        <v>23520</v>
      </c>
      <c r="O59" s="154">
        <f t="shared" si="21"/>
        <v>24192</v>
      </c>
      <c r="Q59" s="6">
        <f>Site1!E78</f>
        <v>4200</v>
      </c>
      <c r="R59" s="6">
        <f>Site1!F78</f>
        <v>4368</v>
      </c>
      <c r="S59" s="6">
        <f>Site1!G78</f>
        <v>4536</v>
      </c>
      <c r="T59" s="6">
        <f>Site1!H78</f>
        <v>4704</v>
      </c>
      <c r="U59" s="6">
        <f>Site1!I78</f>
        <v>4872</v>
      </c>
      <c r="V59" s="6">
        <f>Site1!J78</f>
        <v>5040</v>
      </c>
      <c r="W59" s="6">
        <f>Site1!K78</f>
        <v>5208</v>
      </c>
      <c r="X59" s="6">
        <f>Site1!L78</f>
        <v>5376</v>
      </c>
      <c r="Y59" s="6">
        <f>Site1!M78</f>
        <v>5544</v>
      </c>
      <c r="Z59" s="6">
        <f>Site1!N78</f>
        <v>5711.9999999999991</v>
      </c>
      <c r="AA59" s="6">
        <f>Site1!O78</f>
        <v>5880</v>
      </c>
      <c r="AB59" s="6">
        <f>Site1!P78</f>
        <v>6048</v>
      </c>
      <c r="AD59" s="6">
        <f>Site2!E78</f>
        <v>4200</v>
      </c>
      <c r="AE59" s="6">
        <f>Site2!F78</f>
        <v>4368</v>
      </c>
      <c r="AF59" s="6">
        <f>Site2!G78</f>
        <v>4536</v>
      </c>
      <c r="AG59" s="6">
        <f>Site2!H78</f>
        <v>4704</v>
      </c>
      <c r="AH59" s="6">
        <f>Site2!I78</f>
        <v>4872</v>
      </c>
      <c r="AI59" s="6">
        <f>Site2!J78</f>
        <v>5040</v>
      </c>
      <c r="AJ59" s="6">
        <f>Site2!K78</f>
        <v>5208</v>
      </c>
      <c r="AK59" s="6">
        <f>Site2!L78</f>
        <v>5376</v>
      </c>
      <c r="AL59" s="6">
        <f>Site2!M78</f>
        <v>5544</v>
      </c>
      <c r="AM59" s="6">
        <f>Site2!N78</f>
        <v>5711.9999999999991</v>
      </c>
      <c r="AN59" s="6">
        <f>Site2!O78</f>
        <v>5880</v>
      </c>
      <c r="AO59" s="6">
        <f>Site2!P78</f>
        <v>6048</v>
      </c>
      <c r="AQ59" s="6">
        <f>Site3!E78</f>
        <v>0</v>
      </c>
      <c r="AR59" s="6">
        <f>Site3!F78</f>
        <v>0</v>
      </c>
      <c r="AS59" s="6">
        <f>Site3!G78</f>
        <v>0</v>
      </c>
      <c r="AT59" s="6">
        <f>Site3!H78</f>
        <v>0</v>
      </c>
      <c r="AU59" s="6">
        <f>Site3!I78</f>
        <v>0</v>
      </c>
      <c r="AV59" s="6">
        <f>Site3!J78</f>
        <v>0</v>
      </c>
      <c r="AW59" s="6">
        <f>Site3!K78</f>
        <v>0</v>
      </c>
      <c r="AX59" s="6">
        <f>Site3!L78</f>
        <v>0</v>
      </c>
      <c r="AY59" s="6">
        <f>Site3!M78</f>
        <v>2772</v>
      </c>
      <c r="AZ59" s="6">
        <f>Site3!N78</f>
        <v>2855.9999999999995</v>
      </c>
      <c r="BA59" s="6">
        <f>Site3!O78</f>
        <v>2940</v>
      </c>
      <c r="BB59" s="6">
        <f>Site3!P78</f>
        <v>3024</v>
      </c>
      <c r="BD59" s="6">
        <f>Site4!E78</f>
        <v>0</v>
      </c>
      <c r="BE59" s="6">
        <f>Site4!F78</f>
        <v>0</v>
      </c>
      <c r="BF59" s="6">
        <f>Site4!G78</f>
        <v>0</v>
      </c>
      <c r="BG59" s="6">
        <f>Site4!H78</f>
        <v>0</v>
      </c>
      <c r="BH59" s="6">
        <f>Site4!I78</f>
        <v>0</v>
      </c>
      <c r="BI59" s="6">
        <f>Site4!J78</f>
        <v>0</v>
      </c>
      <c r="BJ59" s="6">
        <f>Site4!K78</f>
        <v>0</v>
      </c>
      <c r="BK59" s="6">
        <f>Site4!L78</f>
        <v>2688</v>
      </c>
      <c r="BL59" s="6">
        <f>Site4!M78</f>
        <v>2772</v>
      </c>
      <c r="BM59" s="6">
        <f>Site4!N78</f>
        <v>2855.9999999999995</v>
      </c>
      <c r="BN59" s="6">
        <f>Site4!O78</f>
        <v>2940</v>
      </c>
      <c r="BO59" s="6">
        <f>Site4!P78</f>
        <v>3024</v>
      </c>
      <c r="BQ59" s="6">
        <f>Site5!E78</f>
        <v>0</v>
      </c>
      <c r="BR59" s="6">
        <f>Site5!F78</f>
        <v>0</v>
      </c>
      <c r="BS59" s="6">
        <f>Site5!G78</f>
        <v>2268</v>
      </c>
      <c r="BT59" s="6">
        <f>Site5!H78</f>
        <v>2352</v>
      </c>
      <c r="BU59" s="6">
        <f>Site5!I78</f>
        <v>2436</v>
      </c>
      <c r="BV59" s="6">
        <f>Site5!J78</f>
        <v>2520</v>
      </c>
      <c r="BW59" s="6">
        <f>Site5!K78</f>
        <v>2604</v>
      </c>
      <c r="BX59" s="6">
        <f>Site5!L78</f>
        <v>2688</v>
      </c>
      <c r="BY59" s="6">
        <f>Site5!M78</f>
        <v>2772</v>
      </c>
      <c r="BZ59" s="6">
        <f>Site5!N78</f>
        <v>5711.9999999999991</v>
      </c>
      <c r="CA59" s="6">
        <f>Site5!O78</f>
        <v>5880</v>
      </c>
      <c r="CB59" s="6">
        <f>Site5!P78</f>
        <v>6048</v>
      </c>
      <c r="CD59" s="6">
        <f>Site6!E78</f>
        <v>0</v>
      </c>
      <c r="CE59" s="6">
        <f>Site6!F78</f>
        <v>0</v>
      </c>
      <c r="CF59" s="6">
        <f>Site6!G78</f>
        <v>0</v>
      </c>
      <c r="CG59" s="6">
        <f>Site6!H78</f>
        <v>0</v>
      </c>
      <c r="CH59" s="6">
        <f>Site6!I78</f>
        <v>0</v>
      </c>
      <c r="CI59" s="6">
        <f>Site6!J78</f>
        <v>0</v>
      </c>
      <c r="CJ59" s="6">
        <f>Site6!K78</f>
        <v>0</v>
      </c>
      <c r="CK59" s="6">
        <f>Site6!L78</f>
        <v>0</v>
      </c>
      <c r="CL59" s="6">
        <f>Site6!M78</f>
        <v>0</v>
      </c>
      <c r="CM59" s="6">
        <f>Site6!N78</f>
        <v>0</v>
      </c>
      <c r="CN59" s="6">
        <f>Site6!O78</f>
        <v>0</v>
      </c>
      <c r="CO59" s="6">
        <f>Site6!P78</f>
        <v>0</v>
      </c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s="2" customFormat="1" hidden="1" outlineLevel="1" x14ac:dyDescent="0.25">
      <c r="A60" s="18">
        <v>6284</v>
      </c>
      <c r="B60" s="18" t="s">
        <v>393</v>
      </c>
      <c r="D60" s="154">
        <f t="shared" si="10"/>
        <v>21000</v>
      </c>
      <c r="E60" s="154">
        <f t="shared" si="11"/>
        <v>21840</v>
      </c>
      <c r="F60" s="154">
        <f t="shared" si="12"/>
        <v>27216</v>
      </c>
      <c r="G60" s="154">
        <f t="shared" si="13"/>
        <v>28224</v>
      </c>
      <c r="H60" s="154">
        <f t="shared" si="14"/>
        <v>29232</v>
      </c>
      <c r="I60" s="154">
        <f t="shared" si="15"/>
        <v>30240</v>
      </c>
      <c r="J60" s="154">
        <f t="shared" si="16"/>
        <v>31248</v>
      </c>
      <c r="K60" s="154">
        <f t="shared" si="17"/>
        <v>32256</v>
      </c>
      <c r="L60" s="154">
        <f t="shared" si="18"/>
        <v>33264</v>
      </c>
      <c r="M60" s="154">
        <f t="shared" si="19"/>
        <v>34271.999999999993</v>
      </c>
      <c r="N60" s="154">
        <f t="shared" si="20"/>
        <v>35280</v>
      </c>
      <c r="O60" s="154">
        <f t="shared" si="21"/>
        <v>36288</v>
      </c>
      <c r="Q60" s="6">
        <f>Site1!E79</f>
        <v>4200</v>
      </c>
      <c r="R60" s="6">
        <f>Site1!F79</f>
        <v>4368</v>
      </c>
      <c r="S60" s="6">
        <f>Site1!G79</f>
        <v>4536</v>
      </c>
      <c r="T60" s="6">
        <f>Site1!H79</f>
        <v>4704</v>
      </c>
      <c r="U60" s="6">
        <f>Site1!I79</f>
        <v>4872</v>
      </c>
      <c r="V60" s="6">
        <f>Site1!J79</f>
        <v>5040</v>
      </c>
      <c r="W60" s="6">
        <f>Site1!K79</f>
        <v>5208</v>
      </c>
      <c r="X60" s="6">
        <f>Site1!L79</f>
        <v>5376</v>
      </c>
      <c r="Y60" s="6">
        <f>Site1!M79</f>
        <v>5544</v>
      </c>
      <c r="Z60" s="6">
        <f>Site1!N79</f>
        <v>5711.9999999999991</v>
      </c>
      <c r="AA60" s="6">
        <f>Site1!O79</f>
        <v>5880</v>
      </c>
      <c r="AB60" s="6">
        <f>Site1!P79</f>
        <v>6048</v>
      </c>
      <c r="AD60" s="6">
        <f>Site2!E79</f>
        <v>4200</v>
      </c>
      <c r="AE60" s="6">
        <f>Site2!F79</f>
        <v>4368</v>
      </c>
      <c r="AF60" s="6">
        <f>Site2!G79</f>
        <v>4536</v>
      </c>
      <c r="AG60" s="6">
        <f>Site2!H79</f>
        <v>4704</v>
      </c>
      <c r="AH60" s="6">
        <f>Site2!I79</f>
        <v>4872</v>
      </c>
      <c r="AI60" s="6">
        <f>Site2!J79</f>
        <v>5040</v>
      </c>
      <c r="AJ60" s="6">
        <f>Site2!K79</f>
        <v>5208</v>
      </c>
      <c r="AK60" s="6">
        <f>Site2!L79</f>
        <v>5376</v>
      </c>
      <c r="AL60" s="6">
        <f>Site2!M79</f>
        <v>5544</v>
      </c>
      <c r="AM60" s="6">
        <f>Site2!N79</f>
        <v>5711.9999999999991</v>
      </c>
      <c r="AN60" s="6">
        <f>Site2!O79</f>
        <v>5880</v>
      </c>
      <c r="AO60" s="6">
        <f>Site2!P79</f>
        <v>6048</v>
      </c>
      <c r="AQ60" s="6">
        <f>Site3!E79</f>
        <v>4200</v>
      </c>
      <c r="AR60" s="6">
        <f>Site3!F79</f>
        <v>4368</v>
      </c>
      <c r="AS60" s="6">
        <f>Site3!G79</f>
        <v>4536</v>
      </c>
      <c r="AT60" s="6">
        <f>Site3!H79</f>
        <v>4704</v>
      </c>
      <c r="AU60" s="6">
        <f>Site3!I79</f>
        <v>4872</v>
      </c>
      <c r="AV60" s="6">
        <f>Site3!J79</f>
        <v>5040</v>
      </c>
      <c r="AW60" s="6">
        <f>Site3!K79</f>
        <v>5208</v>
      </c>
      <c r="AX60" s="6">
        <f>Site3!L79</f>
        <v>5376</v>
      </c>
      <c r="AY60" s="6">
        <f>Site3!M79</f>
        <v>5544</v>
      </c>
      <c r="AZ60" s="6">
        <f>Site3!N79</f>
        <v>5711.9999999999991</v>
      </c>
      <c r="BA60" s="6">
        <f>Site3!O79</f>
        <v>5880</v>
      </c>
      <c r="BB60" s="6">
        <f>Site3!P79</f>
        <v>6048</v>
      </c>
      <c r="BD60" s="6">
        <f>Site4!E79</f>
        <v>4200</v>
      </c>
      <c r="BE60" s="6">
        <f>Site4!F79</f>
        <v>4368</v>
      </c>
      <c r="BF60" s="6">
        <f>Site4!G79</f>
        <v>4536</v>
      </c>
      <c r="BG60" s="6">
        <f>Site4!H79</f>
        <v>4704</v>
      </c>
      <c r="BH60" s="6">
        <f>Site4!I79</f>
        <v>4872</v>
      </c>
      <c r="BI60" s="6">
        <f>Site4!J79</f>
        <v>5040</v>
      </c>
      <c r="BJ60" s="6">
        <f>Site4!K79</f>
        <v>5208</v>
      </c>
      <c r="BK60" s="6">
        <f>Site4!L79</f>
        <v>5376</v>
      </c>
      <c r="BL60" s="6">
        <f>Site4!M79</f>
        <v>5544</v>
      </c>
      <c r="BM60" s="6">
        <f>Site4!N79</f>
        <v>5711.9999999999991</v>
      </c>
      <c r="BN60" s="6">
        <f>Site4!O79</f>
        <v>5880</v>
      </c>
      <c r="BO60" s="6">
        <f>Site4!P79</f>
        <v>6048</v>
      </c>
      <c r="BQ60" s="6">
        <f>Site5!E79</f>
        <v>4200</v>
      </c>
      <c r="BR60" s="6">
        <f>Site5!F79</f>
        <v>4368</v>
      </c>
      <c r="BS60" s="6">
        <f>Site5!G79</f>
        <v>4536</v>
      </c>
      <c r="BT60" s="6">
        <f>Site5!H79</f>
        <v>4704</v>
      </c>
      <c r="BU60" s="6">
        <f>Site5!I79</f>
        <v>4872</v>
      </c>
      <c r="BV60" s="6">
        <f>Site5!J79</f>
        <v>5040</v>
      </c>
      <c r="BW60" s="6">
        <f>Site5!K79</f>
        <v>5208</v>
      </c>
      <c r="BX60" s="6">
        <f>Site5!L79</f>
        <v>5376</v>
      </c>
      <c r="BY60" s="6">
        <f>Site5!M79</f>
        <v>5544</v>
      </c>
      <c r="BZ60" s="6">
        <f>Site5!N79</f>
        <v>5711.9999999999991</v>
      </c>
      <c r="CA60" s="6">
        <f>Site5!O79</f>
        <v>5880</v>
      </c>
      <c r="CB60" s="6">
        <f>Site5!P79</f>
        <v>6048</v>
      </c>
      <c r="CD60" s="6">
        <f>Site6!E79</f>
        <v>0</v>
      </c>
      <c r="CE60" s="6">
        <f>Site6!F79</f>
        <v>0</v>
      </c>
      <c r="CF60" s="6">
        <f>Site6!G79</f>
        <v>4536</v>
      </c>
      <c r="CG60" s="6">
        <f>Site6!H79</f>
        <v>4704</v>
      </c>
      <c r="CH60" s="6">
        <f>Site6!I79</f>
        <v>4872</v>
      </c>
      <c r="CI60" s="6">
        <f>Site6!J79</f>
        <v>5040</v>
      </c>
      <c r="CJ60" s="6">
        <f>Site6!K79</f>
        <v>5208</v>
      </c>
      <c r="CK60" s="6">
        <f>Site6!L79</f>
        <v>5376</v>
      </c>
      <c r="CL60" s="6">
        <f>Site6!M79</f>
        <v>5544</v>
      </c>
      <c r="CM60" s="6">
        <f>Site6!N79</f>
        <v>5711.9999999999991</v>
      </c>
      <c r="CN60" s="6">
        <f>Site6!O79</f>
        <v>5880</v>
      </c>
      <c r="CO60" s="6">
        <f>Site6!P79</f>
        <v>6048</v>
      </c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s="2" customFormat="1" hidden="1" outlineLevel="1" x14ac:dyDescent="0.25">
      <c r="A61" s="18">
        <v>6287</v>
      </c>
      <c r="B61" s="18" t="s">
        <v>394</v>
      </c>
      <c r="D61" s="154">
        <f t="shared" si="10"/>
        <v>12600</v>
      </c>
      <c r="E61" s="154">
        <f t="shared" si="11"/>
        <v>21840</v>
      </c>
      <c r="F61" s="154">
        <f t="shared" si="12"/>
        <v>22680</v>
      </c>
      <c r="G61" s="154">
        <f t="shared" si="13"/>
        <v>28224</v>
      </c>
      <c r="H61" s="154">
        <f t="shared" si="14"/>
        <v>29232</v>
      </c>
      <c r="I61" s="154">
        <f t="shared" si="15"/>
        <v>30240</v>
      </c>
      <c r="J61" s="154">
        <f t="shared" si="16"/>
        <v>31248</v>
      </c>
      <c r="K61" s="154">
        <f t="shared" si="17"/>
        <v>32256</v>
      </c>
      <c r="L61" s="154">
        <f t="shared" si="18"/>
        <v>33264</v>
      </c>
      <c r="M61" s="154">
        <f t="shared" si="19"/>
        <v>34271.999999999993</v>
      </c>
      <c r="N61" s="154">
        <f t="shared" si="20"/>
        <v>35280</v>
      </c>
      <c r="O61" s="154">
        <f t="shared" si="21"/>
        <v>36288</v>
      </c>
      <c r="Q61" s="6">
        <f>Site1!E80</f>
        <v>4200</v>
      </c>
      <c r="R61" s="6">
        <f>Site1!F80</f>
        <v>4368</v>
      </c>
      <c r="S61" s="6">
        <f>Site1!G80</f>
        <v>4536</v>
      </c>
      <c r="T61" s="6">
        <f>Site1!H80</f>
        <v>4704</v>
      </c>
      <c r="U61" s="6">
        <f>Site1!I80</f>
        <v>4872</v>
      </c>
      <c r="V61" s="6">
        <f>Site1!J80</f>
        <v>5040</v>
      </c>
      <c r="W61" s="6">
        <f>Site1!K80</f>
        <v>5208</v>
      </c>
      <c r="X61" s="6">
        <f>Site1!L80</f>
        <v>5376</v>
      </c>
      <c r="Y61" s="6">
        <f>Site1!M80</f>
        <v>5544</v>
      </c>
      <c r="Z61" s="6">
        <f>Site1!N80</f>
        <v>5711.9999999999991</v>
      </c>
      <c r="AA61" s="6">
        <f>Site1!O80</f>
        <v>5880</v>
      </c>
      <c r="AB61" s="6">
        <f>Site1!P80</f>
        <v>6048</v>
      </c>
      <c r="AD61" s="6">
        <f>Site2!E80</f>
        <v>4200</v>
      </c>
      <c r="AE61" s="6">
        <f>Site2!F80</f>
        <v>4368</v>
      </c>
      <c r="AF61" s="6">
        <f>Site2!G80</f>
        <v>4536</v>
      </c>
      <c r="AG61" s="6">
        <f>Site2!H80</f>
        <v>4704</v>
      </c>
      <c r="AH61" s="6">
        <f>Site2!I80</f>
        <v>4872</v>
      </c>
      <c r="AI61" s="6">
        <f>Site2!J80</f>
        <v>5040</v>
      </c>
      <c r="AJ61" s="6">
        <f>Site2!K80</f>
        <v>5208</v>
      </c>
      <c r="AK61" s="6">
        <f>Site2!L80</f>
        <v>5376</v>
      </c>
      <c r="AL61" s="6">
        <f>Site2!M80</f>
        <v>5544</v>
      </c>
      <c r="AM61" s="6">
        <f>Site2!N80</f>
        <v>5711.9999999999991</v>
      </c>
      <c r="AN61" s="6">
        <f>Site2!O80</f>
        <v>5880</v>
      </c>
      <c r="AO61" s="6">
        <f>Site2!P80</f>
        <v>6048</v>
      </c>
      <c r="AQ61" s="6">
        <f>Site3!E80</f>
        <v>0</v>
      </c>
      <c r="AR61" s="6">
        <f>Site3!F80</f>
        <v>4368</v>
      </c>
      <c r="AS61" s="6">
        <f>Site3!G80</f>
        <v>4536</v>
      </c>
      <c r="AT61" s="6">
        <f>Site3!H80</f>
        <v>4704</v>
      </c>
      <c r="AU61" s="6">
        <f>Site3!I80</f>
        <v>4872</v>
      </c>
      <c r="AV61" s="6">
        <f>Site3!J80</f>
        <v>5040</v>
      </c>
      <c r="AW61" s="6">
        <f>Site3!K80</f>
        <v>5208</v>
      </c>
      <c r="AX61" s="6">
        <f>Site3!L80</f>
        <v>5376</v>
      </c>
      <c r="AY61" s="6">
        <f>Site3!M80</f>
        <v>5544</v>
      </c>
      <c r="AZ61" s="6">
        <f>Site3!N80</f>
        <v>5711.9999999999991</v>
      </c>
      <c r="BA61" s="6">
        <f>Site3!O80</f>
        <v>5880</v>
      </c>
      <c r="BB61" s="6">
        <f>Site3!P80</f>
        <v>6048</v>
      </c>
      <c r="BD61" s="6">
        <f>Site4!E80</f>
        <v>0</v>
      </c>
      <c r="BE61" s="6">
        <f>Site4!F80</f>
        <v>4368</v>
      </c>
      <c r="BF61" s="6">
        <f>Site4!G80</f>
        <v>4536</v>
      </c>
      <c r="BG61" s="6">
        <f>Site4!H80</f>
        <v>4704</v>
      </c>
      <c r="BH61" s="6">
        <f>Site4!I80</f>
        <v>4872</v>
      </c>
      <c r="BI61" s="6">
        <f>Site4!J80</f>
        <v>5040</v>
      </c>
      <c r="BJ61" s="6">
        <f>Site4!K80</f>
        <v>5208</v>
      </c>
      <c r="BK61" s="6">
        <f>Site4!L80</f>
        <v>5376</v>
      </c>
      <c r="BL61" s="6">
        <f>Site4!M80</f>
        <v>5544</v>
      </c>
      <c r="BM61" s="6">
        <f>Site4!N80</f>
        <v>5711.9999999999991</v>
      </c>
      <c r="BN61" s="6">
        <f>Site4!O80</f>
        <v>5880</v>
      </c>
      <c r="BO61" s="6">
        <f>Site4!P80</f>
        <v>6048</v>
      </c>
      <c r="BQ61" s="6">
        <f>Site5!E80</f>
        <v>4200</v>
      </c>
      <c r="BR61" s="6">
        <f>Site5!F80</f>
        <v>4368</v>
      </c>
      <c r="BS61" s="6">
        <f>Site5!G80</f>
        <v>4536</v>
      </c>
      <c r="BT61" s="6">
        <f>Site5!H80</f>
        <v>4704</v>
      </c>
      <c r="BU61" s="6">
        <f>Site5!I80</f>
        <v>4872</v>
      </c>
      <c r="BV61" s="6">
        <f>Site5!J80</f>
        <v>5040</v>
      </c>
      <c r="BW61" s="6">
        <f>Site5!K80</f>
        <v>5208</v>
      </c>
      <c r="BX61" s="6">
        <f>Site5!L80</f>
        <v>5376</v>
      </c>
      <c r="BY61" s="6">
        <f>Site5!M80</f>
        <v>5544</v>
      </c>
      <c r="BZ61" s="6">
        <f>Site5!N80</f>
        <v>5711.9999999999991</v>
      </c>
      <c r="CA61" s="6">
        <f>Site5!O80</f>
        <v>5880</v>
      </c>
      <c r="CB61" s="6">
        <f>Site5!P80</f>
        <v>6048</v>
      </c>
      <c r="CD61" s="6">
        <f>Site6!E80</f>
        <v>0</v>
      </c>
      <c r="CE61" s="6">
        <f>Site6!F80</f>
        <v>0</v>
      </c>
      <c r="CF61" s="6">
        <f>Site6!G80</f>
        <v>0</v>
      </c>
      <c r="CG61" s="6">
        <f>Site6!H80</f>
        <v>4704</v>
      </c>
      <c r="CH61" s="6">
        <f>Site6!I80</f>
        <v>4872</v>
      </c>
      <c r="CI61" s="6">
        <f>Site6!J80</f>
        <v>5040</v>
      </c>
      <c r="CJ61" s="6">
        <f>Site6!K80</f>
        <v>5208</v>
      </c>
      <c r="CK61" s="6">
        <f>Site6!L80</f>
        <v>5376</v>
      </c>
      <c r="CL61" s="6">
        <f>Site6!M80</f>
        <v>5544</v>
      </c>
      <c r="CM61" s="6">
        <f>Site6!N80</f>
        <v>5711.9999999999991</v>
      </c>
      <c r="CN61" s="6">
        <f>Site6!O80</f>
        <v>5880</v>
      </c>
      <c r="CO61" s="6">
        <f>Site6!P80</f>
        <v>6048</v>
      </c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s="16" customFormat="1" collapsed="1" x14ac:dyDescent="0.25">
      <c r="A62" s="274">
        <v>200</v>
      </c>
      <c r="B62" s="274" t="s">
        <v>106</v>
      </c>
      <c r="D62" s="260">
        <f t="shared" si="10"/>
        <v>242842.67934000003</v>
      </c>
      <c r="E62" s="260">
        <f t="shared" si="11"/>
        <v>282347.02087980008</v>
      </c>
      <c r="F62" s="260">
        <f t="shared" si="12"/>
        <v>331804.86162150005</v>
      </c>
      <c r="G62" s="260">
        <f t="shared" si="13"/>
        <v>354507.65859637508</v>
      </c>
      <c r="H62" s="260">
        <f t="shared" si="14"/>
        <v>363021.88894725009</v>
      </c>
      <c r="I62" s="260">
        <f t="shared" si="15"/>
        <v>370872.29429812502</v>
      </c>
      <c r="J62" s="260">
        <f t="shared" si="16"/>
        <v>378722.69964900007</v>
      </c>
      <c r="K62" s="260">
        <f t="shared" si="17"/>
        <v>396062.3218621501</v>
      </c>
      <c r="L62" s="260">
        <f t="shared" si="18"/>
        <v>413808.58326344995</v>
      </c>
      <c r="M62" s="260">
        <f t="shared" si="19"/>
        <v>431961.48385290004</v>
      </c>
      <c r="N62" s="260">
        <f t="shared" si="20"/>
        <v>440421.84798600001</v>
      </c>
      <c r="O62" s="260">
        <f t="shared" si="21"/>
        <v>448882.21211910009</v>
      </c>
      <c r="Q62" s="261">
        <f>Site1!E81</f>
        <v>65283.734840000041</v>
      </c>
      <c r="R62" s="261">
        <f>Site1!F81</f>
        <v>67819.504366800014</v>
      </c>
      <c r="S62" s="261">
        <f>Site1!G81</f>
        <v>69396.357393600018</v>
      </c>
      <c r="T62" s="261">
        <f>Site1!H81</f>
        <v>70973.210420400006</v>
      </c>
      <c r="U62" s="261">
        <f>Site1!I81</f>
        <v>72550.063447200024</v>
      </c>
      <c r="V62" s="261">
        <f>Site1!J81</f>
        <v>74126.916474000012</v>
      </c>
      <c r="W62" s="261">
        <f>Site1!K81</f>
        <v>75703.76950080003</v>
      </c>
      <c r="X62" s="261">
        <f>Site1!L81</f>
        <v>77280.622527600033</v>
      </c>
      <c r="Y62" s="261">
        <f>Site1!M81</f>
        <v>78857.475554400007</v>
      </c>
      <c r="Z62" s="261">
        <f>Site1!N81</f>
        <v>80434.328581199996</v>
      </c>
      <c r="AA62" s="261">
        <f>Site1!O81</f>
        <v>82011.181607999984</v>
      </c>
      <c r="AB62" s="261">
        <f>Site1!P81</f>
        <v>83588.034634800002</v>
      </c>
      <c r="AD62" s="261">
        <f>Site2!E81</f>
        <v>68875.798000000024</v>
      </c>
      <c r="AE62" s="261">
        <f>Site2!F81</f>
        <v>72218.566496999993</v>
      </c>
      <c r="AF62" s="261">
        <f>Site2!G81</f>
        <v>73881.675644000017</v>
      </c>
      <c r="AG62" s="261">
        <f>Site2!H81</f>
        <v>75544.784790999998</v>
      </c>
      <c r="AH62" s="261">
        <f>Site2!I81</f>
        <v>77207.893938000008</v>
      </c>
      <c r="AI62" s="261">
        <f>Site2!J81</f>
        <v>78871.003085000004</v>
      </c>
      <c r="AJ62" s="261">
        <f>Site2!K81</f>
        <v>80534.112232000014</v>
      </c>
      <c r="AK62" s="261">
        <f>Site2!L81</f>
        <v>82197.22137900001</v>
      </c>
      <c r="AL62" s="261">
        <f>Site2!M81</f>
        <v>83860.330525999976</v>
      </c>
      <c r="AM62" s="261">
        <f>Site2!N81</f>
        <v>85523.439672999986</v>
      </c>
      <c r="AN62" s="261">
        <f>Site2!O81</f>
        <v>87186.548819999982</v>
      </c>
      <c r="AO62" s="261">
        <f>Site2!P81</f>
        <v>88849.65796700005</v>
      </c>
      <c r="AQ62" s="261">
        <f>Site3!E81</f>
        <v>31667.061499999993</v>
      </c>
      <c r="AR62" s="261">
        <f>Site3!F81</f>
        <v>46413.380517000027</v>
      </c>
      <c r="AS62" s="261">
        <f>Site3!G81</f>
        <v>47488.152683999986</v>
      </c>
      <c r="AT62" s="261">
        <f>Site3!H81</f>
        <v>48562.924851000018</v>
      </c>
      <c r="AU62" s="261">
        <f>Site3!I81</f>
        <v>49637.697018000021</v>
      </c>
      <c r="AV62" s="261">
        <f>Site3!J81</f>
        <v>50712.469185000009</v>
      </c>
      <c r="AW62" s="261">
        <f>Site3!K81</f>
        <v>51787.241352000012</v>
      </c>
      <c r="AX62" s="261">
        <f>Site3!L81</f>
        <v>52862.013519000015</v>
      </c>
      <c r="AY62" s="261">
        <f>Site3!M81</f>
        <v>63629.322142349993</v>
      </c>
      <c r="AZ62" s="261">
        <f>Site3!N81</f>
        <v>64907.413903425004</v>
      </c>
      <c r="BA62" s="261">
        <f>Site3!O81</f>
        <v>66185.50566450003</v>
      </c>
      <c r="BB62" s="261">
        <f>Site3!P81</f>
        <v>67463.597425575004</v>
      </c>
      <c r="BD62" s="261">
        <f>Site4!E81</f>
        <v>31261.271499999999</v>
      </c>
      <c r="BE62" s="261">
        <f>Site4!F81</f>
        <v>47065.782717000024</v>
      </c>
      <c r="BF62" s="261">
        <f>Site4!G81</f>
        <v>48804.647083999997</v>
      </c>
      <c r="BG62" s="261">
        <f>Site4!H81</f>
        <v>49904.736451000019</v>
      </c>
      <c r="BH62" s="261">
        <f>Site4!I81</f>
        <v>51004.825818000012</v>
      </c>
      <c r="BI62" s="261">
        <f>Site4!J81</f>
        <v>52104.915185000005</v>
      </c>
      <c r="BJ62" s="261">
        <f>Site4!K81</f>
        <v>53205.004551999999</v>
      </c>
      <c r="BK62" s="261">
        <f>Site4!L81</f>
        <v>63794.310781275002</v>
      </c>
      <c r="BL62" s="261">
        <f>Site4!M81</f>
        <v>65097.719742350018</v>
      </c>
      <c r="BM62" s="261">
        <f>Site4!N81</f>
        <v>66401.128703425027</v>
      </c>
      <c r="BN62" s="261">
        <f>Site4!O81</f>
        <v>67704.537664500021</v>
      </c>
      <c r="BO62" s="261">
        <f>Site4!P81</f>
        <v>69007.946625575016</v>
      </c>
      <c r="BQ62" s="261">
        <f>Site5!E81</f>
        <v>45754.813500000004</v>
      </c>
      <c r="BR62" s="261">
        <f>Site5!F81</f>
        <v>48829.786781999996</v>
      </c>
      <c r="BS62" s="261">
        <f>Site5!G81</f>
        <v>58945.598355900023</v>
      </c>
      <c r="BT62" s="261">
        <f>Site5!H81</f>
        <v>60281.090631975036</v>
      </c>
      <c r="BU62" s="261">
        <f>Site5!I81</f>
        <v>61616.582908050019</v>
      </c>
      <c r="BV62" s="261">
        <f>Site5!J81</f>
        <v>62952.075184125031</v>
      </c>
      <c r="BW62" s="261">
        <f>Site5!K81</f>
        <v>64287.567460200014</v>
      </c>
      <c r="BX62" s="261">
        <f>Site5!L81</f>
        <v>65623.059736275027</v>
      </c>
      <c r="BY62" s="261">
        <f>Site5!M81</f>
        <v>66958.552012350017</v>
      </c>
      <c r="BZ62" s="261">
        <f>Site5!N81</f>
        <v>78189.900338849999</v>
      </c>
      <c r="CA62" s="261">
        <f>Site5!O81</f>
        <v>79728.71220899999</v>
      </c>
      <c r="CB62" s="261">
        <f>Site5!P81</f>
        <v>81267.524079150025</v>
      </c>
      <c r="CD62" s="261">
        <f>Site6!E81</f>
        <v>0</v>
      </c>
      <c r="CE62" s="261">
        <f>Site6!F81</f>
        <v>0</v>
      </c>
      <c r="CF62" s="261">
        <f>Site6!G81</f>
        <v>33288.430460000003</v>
      </c>
      <c r="CG62" s="261">
        <f>Site6!H81</f>
        <v>49240.911451000022</v>
      </c>
      <c r="CH62" s="261">
        <f>Site6!I81</f>
        <v>51004.825818000012</v>
      </c>
      <c r="CI62" s="261">
        <f>Site6!J81</f>
        <v>52104.915185000005</v>
      </c>
      <c r="CJ62" s="261">
        <f>Site6!K81</f>
        <v>53205.004551999999</v>
      </c>
      <c r="CK62" s="261">
        <f>Site6!L81</f>
        <v>54305.093919000021</v>
      </c>
      <c r="CL62" s="261">
        <f>Site6!M81</f>
        <v>55405.183286000014</v>
      </c>
      <c r="CM62" s="261">
        <f>Site6!N81</f>
        <v>56505.272653</v>
      </c>
      <c r="CN62" s="261">
        <f>Site6!O81</f>
        <v>57605.362020000015</v>
      </c>
      <c r="CO62" s="261">
        <f>Site6!P81</f>
        <v>58705.451386999994</v>
      </c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</row>
    <row r="63" spans="1:107" s="16" customFormat="1" x14ac:dyDescent="0.25">
      <c r="A63" s="276">
        <v>300</v>
      </c>
      <c r="B63" s="276" t="s">
        <v>484</v>
      </c>
      <c r="D63" s="278">
        <f t="shared" si="10"/>
        <v>2450</v>
      </c>
      <c r="E63" s="278">
        <f t="shared" si="11"/>
        <v>2450</v>
      </c>
      <c r="F63" s="278">
        <f t="shared" si="12"/>
        <v>2450</v>
      </c>
      <c r="G63" s="278">
        <f t="shared" si="13"/>
        <v>2450</v>
      </c>
      <c r="H63" s="278">
        <f t="shared" si="14"/>
        <v>2450</v>
      </c>
      <c r="I63" s="278">
        <f t="shared" si="15"/>
        <v>2450</v>
      </c>
      <c r="J63" s="278">
        <f t="shared" si="16"/>
        <v>2450</v>
      </c>
      <c r="K63" s="278">
        <f t="shared" si="17"/>
        <v>2450</v>
      </c>
      <c r="L63" s="278">
        <f t="shared" si="18"/>
        <v>2450</v>
      </c>
      <c r="M63" s="278">
        <f t="shared" si="19"/>
        <v>2450</v>
      </c>
      <c r="N63" s="278">
        <f t="shared" si="20"/>
        <v>2450</v>
      </c>
      <c r="O63" s="278">
        <f t="shared" si="21"/>
        <v>2450</v>
      </c>
      <c r="Q63" s="261">
        <f>Site1!E82</f>
        <v>0</v>
      </c>
      <c r="R63" s="261">
        <f>Site1!F82</f>
        <v>0</v>
      </c>
      <c r="S63" s="261">
        <f>Site1!G82</f>
        <v>0</v>
      </c>
      <c r="T63" s="261">
        <f>Site1!H82</f>
        <v>0</v>
      </c>
      <c r="U63" s="261">
        <f>Site1!I82</f>
        <v>0</v>
      </c>
      <c r="V63" s="261">
        <f>Site1!J82</f>
        <v>0</v>
      </c>
      <c r="W63" s="261">
        <f>Site1!K82</f>
        <v>0</v>
      </c>
      <c r="X63" s="261">
        <f>Site1!L82</f>
        <v>0</v>
      </c>
      <c r="Y63" s="261">
        <f>Site1!M82</f>
        <v>0</v>
      </c>
      <c r="Z63" s="261">
        <f>Site1!N82</f>
        <v>0</v>
      </c>
      <c r="AA63" s="261">
        <f>Site1!O82</f>
        <v>0</v>
      </c>
      <c r="AB63" s="261">
        <f>Site1!P82</f>
        <v>0</v>
      </c>
      <c r="AD63" s="261">
        <f>Site2!E82</f>
        <v>0</v>
      </c>
      <c r="AE63" s="261">
        <f>Site2!F82</f>
        <v>0</v>
      </c>
      <c r="AF63" s="261">
        <f>Site2!G82</f>
        <v>0</v>
      </c>
      <c r="AG63" s="261">
        <f>Site2!H82</f>
        <v>0</v>
      </c>
      <c r="AH63" s="261">
        <f>Site2!I82</f>
        <v>0</v>
      </c>
      <c r="AI63" s="261">
        <f>Site2!J82</f>
        <v>0</v>
      </c>
      <c r="AJ63" s="261">
        <f>Site2!K82</f>
        <v>0</v>
      </c>
      <c r="AK63" s="261">
        <f>Site2!L82</f>
        <v>0</v>
      </c>
      <c r="AL63" s="261">
        <f>Site2!M82</f>
        <v>0</v>
      </c>
      <c r="AM63" s="261">
        <f>Site2!N82</f>
        <v>0</v>
      </c>
      <c r="AN63" s="261">
        <f>Site2!O82</f>
        <v>0</v>
      </c>
      <c r="AO63" s="261">
        <f>Site2!P82</f>
        <v>0</v>
      </c>
      <c r="AQ63" s="261">
        <f>Site3!E82</f>
        <v>1400</v>
      </c>
      <c r="AR63" s="261">
        <f>Site3!F82</f>
        <v>1400</v>
      </c>
      <c r="AS63" s="261">
        <f>Site3!G82</f>
        <v>1400</v>
      </c>
      <c r="AT63" s="261">
        <f>Site3!H82</f>
        <v>1400</v>
      </c>
      <c r="AU63" s="261">
        <f>Site3!I82</f>
        <v>1400</v>
      </c>
      <c r="AV63" s="261">
        <f>Site3!J82</f>
        <v>1400</v>
      </c>
      <c r="AW63" s="261">
        <f>Site3!K82</f>
        <v>1400</v>
      </c>
      <c r="AX63" s="261">
        <f>Site3!L82</f>
        <v>1400</v>
      </c>
      <c r="AY63" s="261">
        <f>Site3!M82</f>
        <v>1400</v>
      </c>
      <c r="AZ63" s="261">
        <f>Site3!N82</f>
        <v>1400</v>
      </c>
      <c r="BA63" s="261">
        <f>Site3!O82</f>
        <v>1400</v>
      </c>
      <c r="BB63" s="261">
        <f>Site3!P82</f>
        <v>1400</v>
      </c>
      <c r="BD63" s="261">
        <f>Site4!E82</f>
        <v>1050</v>
      </c>
      <c r="BE63" s="261">
        <f>Site4!F82</f>
        <v>1050</v>
      </c>
      <c r="BF63" s="261">
        <f>Site4!G82</f>
        <v>1050</v>
      </c>
      <c r="BG63" s="261">
        <f>Site4!H82</f>
        <v>1050</v>
      </c>
      <c r="BH63" s="261">
        <f>Site4!I82</f>
        <v>1050</v>
      </c>
      <c r="BI63" s="261">
        <f>Site4!J82</f>
        <v>1050</v>
      </c>
      <c r="BJ63" s="261">
        <f>Site4!K82</f>
        <v>1050</v>
      </c>
      <c r="BK63" s="261">
        <f>Site4!L82</f>
        <v>1050</v>
      </c>
      <c r="BL63" s="261">
        <f>Site4!M82</f>
        <v>1050</v>
      </c>
      <c r="BM63" s="261">
        <f>Site4!N82</f>
        <v>1050</v>
      </c>
      <c r="BN63" s="261">
        <f>Site4!O82</f>
        <v>1050</v>
      </c>
      <c r="BO63" s="261">
        <f>Site4!P82</f>
        <v>1050</v>
      </c>
      <c r="BQ63" s="261">
        <f>Site5!E82</f>
        <v>0</v>
      </c>
      <c r="BR63" s="261">
        <f>Site5!F82</f>
        <v>0</v>
      </c>
      <c r="BS63" s="261">
        <f>Site5!G82</f>
        <v>0</v>
      </c>
      <c r="BT63" s="261">
        <f>Site5!H82</f>
        <v>0</v>
      </c>
      <c r="BU63" s="261">
        <f>Site5!I82</f>
        <v>0</v>
      </c>
      <c r="BV63" s="261">
        <f>Site5!J82</f>
        <v>0</v>
      </c>
      <c r="BW63" s="261">
        <f>Site5!K82</f>
        <v>0</v>
      </c>
      <c r="BX63" s="261">
        <f>Site5!L82</f>
        <v>0</v>
      </c>
      <c r="BY63" s="261">
        <f>Site5!M82</f>
        <v>0</v>
      </c>
      <c r="BZ63" s="261">
        <f>Site5!N82</f>
        <v>0</v>
      </c>
      <c r="CA63" s="261">
        <f>Site5!O82</f>
        <v>0</v>
      </c>
      <c r="CB63" s="261">
        <f>Site5!P82</f>
        <v>0</v>
      </c>
      <c r="CD63" s="261">
        <f>Site6!E82</f>
        <v>0</v>
      </c>
      <c r="CE63" s="261">
        <f>Site6!F82</f>
        <v>0</v>
      </c>
      <c r="CF63" s="261">
        <f>Site6!G82</f>
        <v>0</v>
      </c>
      <c r="CG63" s="261">
        <f>Site6!H82</f>
        <v>0</v>
      </c>
      <c r="CH63" s="261">
        <f>Site6!I82</f>
        <v>0</v>
      </c>
      <c r="CI63" s="261">
        <f>Site6!J82</f>
        <v>0</v>
      </c>
      <c r="CJ63" s="261">
        <f>Site6!K82</f>
        <v>0</v>
      </c>
      <c r="CK63" s="261">
        <f>Site6!L82</f>
        <v>0</v>
      </c>
      <c r="CL63" s="261">
        <f>Site6!M82</f>
        <v>0</v>
      </c>
      <c r="CM63" s="261">
        <f>Site6!N82</f>
        <v>0</v>
      </c>
      <c r="CN63" s="261">
        <f>Site6!O82</f>
        <v>0</v>
      </c>
      <c r="CO63" s="261">
        <f>Site6!P82</f>
        <v>0</v>
      </c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</row>
    <row r="64" spans="1:107" s="16" customFormat="1" x14ac:dyDescent="0.25">
      <c r="A64" s="277">
        <v>300</v>
      </c>
      <c r="B64" s="276" t="s">
        <v>578</v>
      </c>
      <c r="D64" s="278">
        <f t="shared" si="10"/>
        <v>158287.5</v>
      </c>
      <c r="E64" s="278">
        <f t="shared" si="11"/>
        <v>221138.19</v>
      </c>
      <c r="F64" s="278">
        <f t="shared" si="12"/>
        <v>252176.51452500004</v>
      </c>
      <c r="G64" s="278">
        <f t="shared" si="13"/>
        <v>261591.20641375319</v>
      </c>
      <c r="H64" s="278">
        <f t="shared" si="14"/>
        <v>276103.290007659</v>
      </c>
      <c r="I64" s="278">
        <f t="shared" si="15"/>
        <v>292925.71962801204</v>
      </c>
      <c r="J64" s="278">
        <f t="shared" si="16"/>
        <v>309984.95488260745</v>
      </c>
      <c r="K64" s="278">
        <f t="shared" si="17"/>
        <v>327283.60159429262</v>
      </c>
      <c r="L64" s="278">
        <f t="shared" si="18"/>
        <v>346979.44317389687</v>
      </c>
      <c r="M64" s="278">
        <f t="shared" si="19"/>
        <v>366952.31267460558</v>
      </c>
      <c r="N64" s="278">
        <f t="shared" si="20"/>
        <v>387205.25762414635</v>
      </c>
      <c r="O64" s="278">
        <f t="shared" si="21"/>
        <v>409945.36300834408</v>
      </c>
      <c r="Q64" s="287">
        <f>Site1!E83</f>
        <v>0</v>
      </c>
      <c r="R64" s="287">
        <f>Site1!F83</f>
        <v>0</v>
      </c>
      <c r="S64" s="287">
        <f>Site1!G83</f>
        <v>0</v>
      </c>
      <c r="T64" s="287">
        <f>Site1!H83</f>
        <v>0</v>
      </c>
      <c r="U64" s="287">
        <f>Site1!I83</f>
        <v>0</v>
      </c>
      <c r="V64" s="287">
        <f>Site1!J83</f>
        <v>0</v>
      </c>
      <c r="W64" s="287">
        <f>Site1!K83</f>
        <v>0</v>
      </c>
      <c r="X64" s="287">
        <f>Site1!L83</f>
        <v>0</v>
      </c>
      <c r="Y64" s="287">
        <f>Site1!M83</f>
        <v>0</v>
      </c>
      <c r="Z64" s="287">
        <f>Site1!N83</f>
        <v>0</v>
      </c>
      <c r="AA64" s="287">
        <f>Site1!O83</f>
        <v>0</v>
      </c>
      <c r="AB64" s="287">
        <f>Site1!P83</f>
        <v>0</v>
      </c>
      <c r="AD64" s="287">
        <f>Site2!E83</f>
        <v>0</v>
      </c>
      <c r="AE64" s="287">
        <f>Site2!F83</f>
        <v>0</v>
      </c>
      <c r="AF64" s="287">
        <f>Site2!G83</f>
        <v>0</v>
      </c>
      <c r="AG64" s="287">
        <f>Site2!H83</f>
        <v>0</v>
      </c>
      <c r="AH64" s="287">
        <f>Site2!I83</f>
        <v>0</v>
      </c>
      <c r="AI64" s="287">
        <f>Site2!J83</f>
        <v>0</v>
      </c>
      <c r="AJ64" s="287">
        <f>Site2!K83</f>
        <v>0</v>
      </c>
      <c r="AK64" s="287">
        <f>Site2!L83</f>
        <v>0</v>
      </c>
      <c r="AL64" s="287">
        <f>Site2!M83</f>
        <v>0</v>
      </c>
      <c r="AM64" s="287">
        <f>Site2!N83</f>
        <v>0</v>
      </c>
      <c r="AN64" s="287">
        <f>Site2!O83</f>
        <v>0</v>
      </c>
      <c r="AO64" s="287">
        <f>Site2!P83</f>
        <v>0</v>
      </c>
      <c r="AQ64" s="287">
        <f>Site3!E83</f>
        <v>0</v>
      </c>
      <c r="AR64" s="287">
        <f>Site3!F83</f>
        <v>0</v>
      </c>
      <c r="AS64" s="287">
        <f>Site3!G83</f>
        <v>0</v>
      </c>
      <c r="AT64" s="287">
        <f>Site3!H83</f>
        <v>0</v>
      </c>
      <c r="AU64" s="287">
        <f>Site3!I83</f>
        <v>0</v>
      </c>
      <c r="AV64" s="287">
        <f>Site3!J83</f>
        <v>0</v>
      </c>
      <c r="AW64" s="287">
        <f>Site3!K83</f>
        <v>0</v>
      </c>
      <c r="AX64" s="287">
        <f>Site3!L83</f>
        <v>0</v>
      </c>
      <c r="AY64" s="287">
        <f>Site3!M83</f>
        <v>0</v>
      </c>
      <c r="AZ64" s="287">
        <f>Site3!N83</f>
        <v>0</v>
      </c>
      <c r="BA64" s="287">
        <f>Site3!O83</f>
        <v>0</v>
      </c>
      <c r="BB64" s="287">
        <f>Site3!P83</f>
        <v>0</v>
      </c>
      <c r="BD64" s="287">
        <f>Site4!E83</f>
        <v>0</v>
      </c>
      <c r="BE64" s="287">
        <f>Site4!F83</f>
        <v>0</v>
      </c>
      <c r="BF64" s="287">
        <f>Site4!G83</f>
        <v>0</v>
      </c>
      <c r="BG64" s="287">
        <f>Site4!H83</f>
        <v>0</v>
      </c>
      <c r="BH64" s="287">
        <f>Site4!I83</f>
        <v>0</v>
      </c>
      <c r="BI64" s="287">
        <f>Site4!J83</f>
        <v>0</v>
      </c>
      <c r="BJ64" s="287">
        <f>Site4!K83</f>
        <v>0</v>
      </c>
      <c r="BK64" s="287">
        <f>Site4!L83</f>
        <v>0</v>
      </c>
      <c r="BL64" s="287">
        <f>Site4!M83</f>
        <v>0</v>
      </c>
      <c r="BM64" s="287">
        <f>Site4!N83</f>
        <v>0</v>
      </c>
      <c r="BN64" s="287">
        <f>Site4!O83</f>
        <v>0</v>
      </c>
      <c r="BO64" s="287">
        <f>Site4!P83</f>
        <v>0</v>
      </c>
      <c r="BQ64" s="287">
        <f>Site5!E83</f>
        <v>158287.5</v>
      </c>
      <c r="BR64" s="287">
        <f>Site5!F83</f>
        <v>221138.19</v>
      </c>
      <c r="BS64" s="287">
        <f>Site5!G83</f>
        <v>252176.51452500004</v>
      </c>
      <c r="BT64" s="287">
        <f>Site5!H83</f>
        <v>261591.20641375319</v>
      </c>
      <c r="BU64" s="287">
        <f>Site5!I83</f>
        <v>276103.290007659</v>
      </c>
      <c r="BV64" s="287">
        <f>Site5!J83</f>
        <v>292925.71962801204</v>
      </c>
      <c r="BW64" s="287">
        <f>Site5!K83</f>
        <v>309984.95488260745</v>
      </c>
      <c r="BX64" s="287">
        <f>Site5!L83</f>
        <v>327283.60159429262</v>
      </c>
      <c r="BY64" s="287">
        <f>Site5!M83</f>
        <v>346979.44317389687</v>
      </c>
      <c r="BZ64" s="287">
        <f>Site5!N83</f>
        <v>366952.31267460558</v>
      </c>
      <c r="CA64" s="287">
        <f>Site5!O83</f>
        <v>387205.25762414635</v>
      </c>
      <c r="CB64" s="287">
        <f>Site5!P83</f>
        <v>409945.36300834408</v>
      </c>
      <c r="CD64" s="287">
        <f>Site6!E83</f>
        <v>0</v>
      </c>
      <c r="CE64" s="287">
        <f>Site6!F83</f>
        <v>0</v>
      </c>
      <c r="CF64" s="287">
        <f>Site6!G83</f>
        <v>0</v>
      </c>
      <c r="CG64" s="287">
        <f>Site6!H83</f>
        <v>0</v>
      </c>
      <c r="CH64" s="287">
        <f>Site6!I83</f>
        <v>0</v>
      </c>
      <c r="CI64" s="287">
        <f>Site6!J83</f>
        <v>0</v>
      </c>
      <c r="CJ64" s="287">
        <f>Site6!K83</f>
        <v>0</v>
      </c>
      <c r="CK64" s="287">
        <f>Site6!L83</f>
        <v>0</v>
      </c>
      <c r="CL64" s="287">
        <f>Site6!M83</f>
        <v>0</v>
      </c>
      <c r="CM64" s="287">
        <f>Site6!N83</f>
        <v>0</v>
      </c>
      <c r="CN64" s="287">
        <f>Site6!O83</f>
        <v>0</v>
      </c>
      <c r="CO64" s="287">
        <f>Site6!P83</f>
        <v>0</v>
      </c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</row>
    <row r="65" spans="1:107" s="16" customFormat="1" x14ac:dyDescent="0.25">
      <c r="A65" s="277">
        <v>300</v>
      </c>
      <c r="B65" s="276" t="s">
        <v>517</v>
      </c>
      <c r="D65" s="278">
        <f t="shared" si="10"/>
        <v>76920.1875</v>
      </c>
      <c r="E65" s="278">
        <f t="shared" si="11"/>
        <v>88318.583437499998</v>
      </c>
      <c r="F65" s="278">
        <f t="shared" si="12"/>
        <v>104135.02671000001</v>
      </c>
      <c r="G65" s="278">
        <f t="shared" si="13"/>
        <v>111667.54276932214</v>
      </c>
      <c r="H65" s="278">
        <f t="shared" si="14"/>
        <v>117650.40355569382</v>
      </c>
      <c r="I65" s="278">
        <f t="shared" si="15"/>
        <v>122445.51721689697</v>
      </c>
      <c r="J65" s="278">
        <f t="shared" si="16"/>
        <v>127833.58265895022</v>
      </c>
      <c r="K65" s="278">
        <f t="shared" si="17"/>
        <v>133295.5815222908</v>
      </c>
      <c r="L65" s="278">
        <f t="shared" si="18"/>
        <v>139372.708045059</v>
      </c>
      <c r="M65" s="278">
        <f t="shared" si="19"/>
        <v>145533.49358920811</v>
      </c>
      <c r="N65" s="278">
        <f t="shared" si="20"/>
        <v>151997.61123424792</v>
      </c>
      <c r="O65" s="278">
        <f t="shared" si="21"/>
        <v>158772.54175685404</v>
      </c>
      <c r="Q65" s="287">
        <f>Site1!E84</f>
        <v>30451.5</v>
      </c>
      <c r="R65" s="287">
        <f>Site1!F84</f>
        <v>31293.483975000003</v>
      </c>
      <c r="S65" s="287">
        <f>Site1!G84</f>
        <v>32146.384812750006</v>
      </c>
      <c r="T65" s="287">
        <f>Site1!H84</f>
        <v>33010.318904592663</v>
      </c>
      <c r="U65" s="287">
        <f>Site1!I84</f>
        <v>33885.40377366724</v>
      </c>
      <c r="V65" s="287">
        <f>Site1!J84</f>
        <v>34771.758085339556</v>
      </c>
      <c r="W65" s="287">
        <f>Site1!K84</f>
        <v>35775.66088884887</v>
      </c>
      <c r="X65" s="287">
        <f>Site1!L84</f>
        <v>36792.666323018522</v>
      </c>
      <c r="Y65" s="287">
        <f>Site1!M84</f>
        <v>37822.914457775725</v>
      </c>
      <c r="Z65" s="287">
        <f>Site1!N84</f>
        <v>38866.546727073612</v>
      </c>
      <c r="AA65" s="287">
        <f>Site1!O84</f>
        <v>39923.705941472712</v>
      </c>
      <c r="AB65" s="287">
        <f>Site1!P84</f>
        <v>40994.536300834407</v>
      </c>
      <c r="AD65" s="287">
        <f>Site2!E84</f>
        <v>20300.999999999996</v>
      </c>
      <c r="AE65" s="287">
        <f>Site2!F84</f>
        <v>20862.322650000002</v>
      </c>
      <c r="AF65" s="287">
        <f>Site2!G84</f>
        <v>21430.9232085</v>
      </c>
      <c r="AG65" s="287">
        <f>Site2!H84</f>
        <v>22006.879269728444</v>
      </c>
      <c r="AH65" s="287">
        <f>Site2!I84</f>
        <v>22590.269182444827</v>
      </c>
      <c r="AI65" s="287">
        <f>Site2!J84</f>
        <v>23181.17205689304</v>
      </c>
      <c r="AJ65" s="287">
        <f>Site2!K84</f>
        <v>23779.667771816465</v>
      </c>
      <c r="AK65" s="287">
        <f>Site2!L84</f>
        <v>24385.836981535536</v>
      </c>
      <c r="AL65" s="287">
        <f>Site2!M84</f>
        <v>25107.518714136018</v>
      </c>
      <c r="AM65" s="287">
        <f>Site2!N84</f>
        <v>25838.653969395305</v>
      </c>
      <c r="AN65" s="287">
        <f>Site2!O84</f>
        <v>26579.343955555811</v>
      </c>
      <c r="AO65" s="287">
        <f>Site2!P84</f>
        <v>27329.690867222944</v>
      </c>
      <c r="AQ65" s="287">
        <f>Site3!E84</f>
        <v>8756.0625</v>
      </c>
      <c r="AR65" s="287">
        <f>Site3!F84</f>
        <v>11416.360312499999</v>
      </c>
      <c r="AS65" s="287">
        <f>Site3!G84</f>
        <v>12547.617834375</v>
      </c>
      <c r="AT65" s="287">
        <f>Site3!H84</f>
        <v>13273.811216539456</v>
      </c>
      <c r="AU65" s="287">
        <f>Site3!I84</f>
        <v>14010.19169593319</v>
      </c>
      <c r="AV65" s="287">
        <f>Site3!J84</f>
        <v>14863.805080134272</v>
      </c>
      <c r="AW65" s="287">
        <f>Site3!K84</f>
        <v>15729.434591815476</v>
      </c>
      <c r="AX65" s="287">
        <f>Site3!L84</f>
        <v>16607.212457136138</v>
      </c>
      <c r="AY65" s="287">
        <f>Site3!M84</f>
        <v>17606.6301610517</v>
      </c>
      <c r="AZ65" s="287">
        <f>Site3!N84</f>
        <v>18620.104974825284</v>
      </c>
      <c r="BA65" s="287">
        <f>Site3!O84</f>
        <v>19647.79153785891</v>
      </c>
      <c r="BB65" s="287">
        <f>Site3!P84</f>
        <v>20801.683023938254</v>
      </c>
      <c r="BD65" s="287">
        <f>Site4!E84</f>
        <v>9497.25</v>
      </c>
      <c r="BE65" s="287">
        <f>Site4!F84</f>
        <v>13689.507</v>
      </c>
      <c r="BF65" s="287">
        <f>Site4!G84</f>
        <v>15761.032157812502</v>
      </c>
      <c r="BG65" s="287">
        <f>Site4!H84</f>
        <v>16401.353418005157</v>
      </c>
      <c r="BH65" s="287">
        <f>Site4!I84</f>
        <v>17361.040205027042</v>
      </c>
      <c r="BI65" s="287">
        <f>Site4!J84</f>
        <v>18334.199717724496</v>
      </c>
      <c r="BJ65" s="287">
        <f>Site4!K84</f>
        <v>19427.139295725054</v>
      </c>
      <c r="BK65" s="287">
        <f>Site4!L84</f>
        <v>20535.441668661504</v>
      </c>
      <c r="BL65" s="287">
        <f>Site4!M84</f>
        <v>21767.033391654404</v>
      </c>
      <c r="BM65" s="287">
        <f>Site4!N84</f>
        <v>23015.943871898337</v>
      </c>
      <c r="BN65" s="287">
        <f>Site4!O84</f>
        <v>24391.743629995661</v>
      </c>
      <c r="BO65" s="287">
        <f>Site4!P84</f>
        <v>25786.885737621644</v>
      </c>
      <c r="BQ65" s="287">
        <f>Site5!E84</f>
        <v>7914.375</v>
      </c>
      <c r="BR65" s="287">
        <f>Site5!F84</f>
        <v>11056.9095</v>
      </c>
      <c r="BS65" s="287">
        <f>Site5!G84</f>
        <v>12608.825726250003</v>
      </c>
      <c r="BT65" s="287">
        <f>Site5!H84</f>
        <v>13079.560320687659</v>
      </c>
      <c r="BU65" s="287">
        <f>Site5!I84</f>
        <v>13805.164500382951</v>
      </c>
      <c r="BV65" s="287">
        <f>Site5!J84</f>
        <v>14646.285981400602</v>
      </c>
      <c r="BW65" s="287">
        <f>Site5!K84</f>
        <v>15499.247744130373</v>
      </c>
      <c r="BX65" s="287">
        <f>Site5!L84</f>
        <v>16364.180079714632</v>
      </c>
      <c r="BY65" s="287">
        <f>Site5!M84</f>
        <v>17348.972158694844</v>
      </c>
      <c r="BZ65" s="287">
        <f>Site5!N84</f>
        <v>18347.615633730278</v>
      </c>
      <c r="CA65" s="287">
        <f>Site5!O84</f>
        <v>19360.26288120732</v>
      </c>
      <c r="CB65" s="287">
        <f>Site5!P84</f>
        <v>20497.268150417203</v>
      </c>
      <c r="CD65" s="287">
        <f>Site6!E84</f>
        <v>0</v>
      </c>
      <c r="CE65" s="287">
        <f>Site6!F84</f>
        <v>0</v>
      </c>
      <c r="CF65" s="287">
        <f>Site6!G84</f>
        <v>9640.2429703125017</v>
      </c>
      <c r="CG65" s="287">
        <f>Site6!H84</f>
        <v>13895.619639768753</v>
      </c>
      <c r="CH65" s="287">
        <f>Site6!I84</f>
        <v>15998.334198238565</v>
      </c>
      <c r="CI65" s="287">
        <f>Site6!J84</f>
        <v>16648.296295404998</v>
      </c>
      <c r="CJ65" s="287">
        <f>Site6!K84</f>
        <v>17622.432366613986</v>
      </c>
      <c r="CK65" s="287">
        <f>Site6!L84</f>
        <v>18610.244012224484</v>
      </c>
      <c r="CL65" s="287">
        <f>Site6!M84</f>
        <v>19719.639161746316</v>
      </c>
      <c r="CM65" s="287">
        <f>Site6!N84</f>
        <v>20844.628412285285</v>
      </c>
      <c r="CN65" s="287">
        <f>Site6!O84</f>
        <v>22094.763288157501</v>
      </c>
      <c r="CO65" s="287">
        <f>Site6!P84</f>
        <v>23362.477676819617</v>
      </c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</row>
    <row r="66" spans="1:107" s="2" customFormat="1" hidden="1" outlineLevel="1" x14ac:dyDescent="0.25">
      <c r="A66" s="145">
        <v>6300</v>
      </c>
      <c r="B66" s="18" t="s">
        <v>481</v>
      </c>
      <c r="D66" s="154">
        <f t="shared" si="10"/>
        <v>0</v>
      </c>
      <c r="E66" s="154">
        <f t="shared" si="11"/>
        <v>0</v>
      </c>
      <c r="F66" s="154">
        <f t="shared" si="12"/>
        <v>0</v>
      </c>
      <c r="G66" s="154">
        <f t="shared" si="13"/>
        <v>0</v>
      </c>
      <c r="H66" s="154">
        <f t="shared" si="14"/>
        <v>0</v>
      </c>
      <c r="I66" s="154">
        <f t="shared" si="15"/>
        <v>0</v>
      </c>
      <c r="J66" s="154">
        <f t="shared" si="16"/>
        <v>0</v>
      </c>
      <c r="K66" s="154">
        <f t="shared" si="17"/>
        <v>0</v>
      </c>
      <c r="L66" s="154">
        <f t="shared" si="18"/>
        <v>0</v>
      </c>
      <c r="M66" s="154">
        <f t="shared" si="19"/>
        <v>0</v>
      </c>
      <c r="N66" s="154">
        <f t="shared" si="20"/>
        <v>0</v>
      </c>
      <c r="O66" s="154">
        <f t="shared" si="21"/>
        <v>0</v>
      </c>
      <c r="Q66" s="6">
        <f>Site1!E85</f>
        <v>0</v>
      </c>
      <c r="R66" s="6">
        <f>Site1!F85</f>
        <v>0</v>
      </c>
      <c r="S66" s="6">
        <f>Site1!G85</f>
        <v>0</v>
      </c>
      <c r="T66" s="6">
        <f>Site1!H85</f>
        <v>0</v>
      </c>
      <c r="U66" s="6">
        <f>Site1!I85</f>
        <v>0</v>
      </c>
      <c r="V66" s="6">
        <f>Site1!J85</f>
        <v>0</v>
      </c>
      <c r="W66" s="6">
        <f>Site1!K85</f>
        <v>0</v>
      </c>
      <c r="X66" s="6">
        <f>Site1!L85</f>
        <v>0</v>
      </c>
      <c r="Y66" s="6">
        <f>Site1!M85</f>
        <v>0</v>
      </c>
      <c r="Z66" s="6">
        <f>Site1!N85</f>
        <v>0</v>
      </c>
      <c r="AA66" s="6">
        <f>Site1!O85</f>
        <v>0</v>
      </c>
      <c r="AB66" s="6">
        <f>Site1!P85</f>
        <v>0</v>
      </c>
      <c r="AD66" s="6">
        <f>Site2!E85</f>
        <v>0</v>
      </c>
      <c r="AE66" s="6">
        <f>Site2!F85</f>
        <v>0</v>
      </c>
      <c r="AF66" s="6">
        <f>Site2!G85</f>
        <v>0</v>
      </c>
      <c r="AG66" s="6">
        <f>Site2!H85</f>
        <v>0</v>
      </c>
      <c r="AH66" s="6">
        <f>Site2!I85</f>
        <v>0</v>
      </c>
      <c r="AI66" s="6">
        <f>Site2!J85</f>
        <v>0</v>
      </c>
      <c r="AJ66" s="6">
        <f>Site2!K85</f>
        <v>0</v>
      </c>
      <c r="AK66" s="6">
        <f>Site2!L85</f>
        <v>0</v>
      </c>
      <c r="AL66" s="6">
        <f>Site2!M85</f>
        <v>0</v>
      </c>
      <c r="AM66" s="6">
        <f>Site2!N85</f>
        <v>0</v>
      </c>
      <c r="AN66" s="6">
        <f>Site2!O85</f>
        <v>0</v>
      </c>
      <c r="AO66" s="6">
        <f>Site2!P85</f>
        <v>0</v>
      </c>
      <c r="AQ66" s="6">
        <f>Site3!E85</f>
        <v>0</v>
      </c>
      <c r="AR66" s="6">
        <f>Site3!F85</f>
        <v>0</v>
      </c>
      <c r="AS66" s="6">
        <f>Site3!G85</f>
        <v>0</v>
      </c>
      <c r="AT66" s="6">
        <f>Site3!H85</f>
        <v>0</v>
      </c>
      <c r="AU66" s="6">
        <f>Site3!I85</f>
        <v>0</v>
      </c>
      <c r="AV66" s="6">
        <f>Site3!J85</f>
        <v>0</v>
      </c>
      <c r="AW66" s="6">
        <f>Site3!K85</f>
        <v>0</v>
      </c>
      <c r="AX66" s="6">
        <f>Site3!L85</f>
        <v>0</v>
      </c>
      <c r="AY66" s="6">
        <f>Site3!M85</f>
        <v>0</v>
      </c>
      <c r="AZ66" s="6">
        <f>Site3!N85</f>
        <v>0</v>
      </c>
      <c r="BA66" s="6">
        <f>Site3!O85</f>
        <v>0</v>
      </c>
      <c r="BB66" s="6">
        <f>Site3!P85</f>
        <v>0</v>
      </c>
      <c r="BD66" s="6">
        <f>Site4!E85</f>
        <v>0</v>
      </c>
      <c r="BE66" s="6">
        <f>Site4!F85</f>
        <v>0</v>
      </c>
      <c r="BF66" s="6">
        <f>Site4!G85</f>
        <v>0</v>
      </c>
      <c r="BG66" s="6">
        <f>Site4!H85</f>
        <v>0</v>
      </c>
      <c r="BH66" s="6">
        <f>Site4!I85</f>
        <v>0</v>
      </c>
      <c r="BI66" s="6">
        <f>Site4!J85</f>
        <v>0</v>
      </c>
      <c r="BJ66" s="6">
        <f>Site4!K85</f>
        <v>0</v>
      </c>
      <c r="BK66" s="6">
        <f>Site4!L85</f>
        <v>0</v>
      </c>
      <c r="BL66" s="6">
        <f>Site4!M85</f>
        <v>0</v>
      </c>
      <c r="BM66" s="6">
        <f>Site4!N85</f>
        <v>0</v>
      </c>
      <c r="BN66" s="6">
        <f>Site4!O85</f>
        <v>0</v>
      </c>
      <c r="BO66" s="6">
        <f>Site4!P85</f>
        <v>0</v>
      </c>
      <c r="BQ66" s="6">
        <f>Site5!E85</f>
        <v>0</v>
      </c>
      <c r="BR66" s="6">
        <f>Site5!F85</f>
        <v>0</v>
      </c>
      <c r="BS66" s="6">
        <f>Site5!G85</f>
        <v>0</v>
      </c>
      <c r="BT66" s="6">
        <f>Site5!H85</f>
        <v>0</v>
      </c>
      <c r="BU66" s="6">
        <f>Site5!I85</f>
        <v>0</v>
      </c>
      <c r="BV66" s="6">
        <f>Site5!J85</f>
        <v>0</v>
      </c>
      <c r="BW66" s="6">
        <f>Site5!K85</f>
        <v>0</v>
      </c>
      <c r="BX66" s="6">
        <f>Site5!L85</f>
        <v>0</v>
      </c>
      <c r="BY66" s="6">
        <f>Site5!M85</f>
        <v>0</v>
      </c>
      <c r="BZ66" s="6">
        <f>Site5!N85</f>
        <v>0</v>
      </c>
      <c r="CA66" s="6">
        <f>Site5!O85</f>
        <v>0</v>
      </c>
      <c r="CB66" s="6">
        <f>Site5!P85</f>
        <v>0</v>
      </c>
      <c r="CD66" s="6">
        <f>Site6!E85</f>
        <v>0</v>
      </c>
      <c r="CE66" s="6">
        <f>Site6!F85</f>
        <v>0</v>
      </c>
      <c r="CF66" s="6">
        <f>Site6!G85</f>
        <v>0</v>
      </c>
      <c r="CG66" s="6">
        <f>Site6!H85</f>
        <v>0</v>
      </c>
      <c r="CH66" s="6">
        <f>Site6!I85</f>
        <v>0</v>
      </c>
      <c r="CI66" s="6">
        <f>Site6!J85</f>
        <v>0</v>
      </c>
      <c r="CJ66" s="6">
        <f>Site6!K85</f>
        <v>0</v>
      </c>
      <c r="CK66" s="6">
        <f>Site6!L85</f>
        <v>0</v>
      </c>
      <c r="CL66" s="6">
        <f>Site6!M85</f>
        <v>0</v>
      </c>
      <c r="CM66" s="6">
        <f>Site6!N85</f>
        <v>0</v>
      </c>
      <c r="CN66" s="6">
        <f>Site6!O85</f>
        <v>0</v>
      </c>
      <c r="CO66" s="6">
        <f>Site6!P85</f>
        <v>0</v>
      </c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s="2" customFormat="1" hidden="1" outlineLevel="1" x14ac:dyDescent="0.25">
      <c r="A67" s="145">
        <v>6300</v>
      </c>
      <c r="B67" s="18" t="s">
        <v>482</v>
      </c>
      <c r="D67" s="154">
        <f t="shared" si="10"/>
        <v>1320</v>
      </c>
      <c r="E67" s="154">
        <f t="shared" si="11"/>
        <v>1478</v>
      </c>
      <c r="F67" s="154">
        <f t="shared" si="12"/>
        <v>1582</v>
      </c>
      <c r="G67" s="154">
        <f t="shared" si="13"/>
        <v>1657</v>
      </c>
      <c r="H67" s="154">
        <f t="shared" si="14"/>
        <v>1737</v>
      </c>
      <c r="I67" s="154">
        <f t="shared" si="15"/>
        <v>1822</v>
      </c>
      <c r="J67" s="154">
        <f t="shared" si="16"/>
        <v>1911</v>
      </c>
      <c r="K67" s="154">
        <f t="shared" si="17"/>
        <v>2002</v>
      </c>
      <c r="L67" s="154">
        <f t="shared" si="18"/>
        <v>2103</v>
      </c>
      <c r="M67" s="154">
        <f t="shared" si="19"/>
        <v>2205</v>
      </c>
      <c r="N67" s="154">
        <f t="shared" si="20"/>
        <v>2309</v>
      </c>
      <c r="O67" s="154">
        <f t="shared" si="21"/>
        <v>2421</v>
      </c>
      <c r="Q67" s="6">
        <f>Site1!E86</f>
        <v>600</v>
      </c>
      <c r="R67" s="6">
        <f>Site1!F86</f>
        <v>624</v>
      </c>
      <c r="S67" s="6">
        <f>Site1!G86</f>
        <v>649</v>
      </c>
      <c r="T67" s="6">
        <f>Site1!H86</f>
        <v>674</v>
      </c>
      <c r="U67" s="6">
        <f>Site1!I86</f>
        <v>700</v>
      </c>
      <c r="V67" s="6">
        <f>Site1!J86</f>
        <v>726</v>
      </c>
      <c r="W67" s="6">
        <f>Site1!K86</f>
        <v>755</v>
      </c>
      <c r="X67" s="6">
        <f>Site1!L86</f>
        <v>784</v>
      </c>
      <c r="Y67" s="6">
        <f>Site1!M86</f>
        <v>814</v>
      </c>
      <c r="Z67" s="6">
        <f>Site1!N86</f>
        <v>845</v>
      </c>
      <c r="AA67" s="6">
        <f>Site1!O86</f>
        <v>876</v>
      </c>
      <c r="AB67" s="6">
        <f>Site1!P86</f>
        <v>908</v>
      </c>
      <c r="AD67" s="6">
        <f>Site2!E86</f>
        <v>400</v>
      </c>
      <c r="AE67" s="6">
        <f>Site2!F86</f>
        <v>416</v>
      </c>
      <c r="AF67" s="6">
        <f>Site2!G86</f>
        <v>433</v>
      </c>
      <c r="AG67" s="6">
        <f>Site2!H86</f>
        <v>449</v>
      </c>
      <c r="AH67" s="6">
        <f>Site2!I86</f>
        <v>467</v>
      </c>
      <c r="AI67" s="6">
        <f>Site2!J86</f>
        <v>484</v>
      </c>
      <c r="AJ67" s="6">
        <f>Site2!K86</f>
        <v>502</v>
      </c>
      <c r="AK67" s="6">
        <f>Site2!L86</f>
        <v>520</v>
      </c>
      <c r="AL67" s="6">
        <f>Site2!M86</f>
        <v>541</v>
      </c>
      <c r="AM67" s="6">
        <f>Site2!N86</f>
        <v>562</v>
      </c>
      <c r="AN67" s="6">
        <f>Site2!O86</f>
        <v>583</v>
      </c>
      <c r="AO67" s="6">
        <f>Site2!P86</f>
        <v>605</v>
      </c>
      <c r="AQ67" s="6">
        <f>Site3!E86</f>
        <v>170</v>
      </c>
      <c r="AR67" s="6">
        <f>Site3!F86</f>
        <v>224</v>
      </c>
      <c r="AS67" s="6">
        <f>Site3!G86</f>
        <v>250</v>
      </c>
      <c r="AT67" s="6">
        <f>Site3!H86</f>
        <v>267</v>
      </c>
      <c r="AU67" s="6">
        <f>Site3!I86</f>
        <v>285</v>
      </c>
      <c r="AV67" s="6">
        <f>Site3!J86</f>
        <v>306</v>
      </c>
      <c r="AW67" s="6">
        <f>Site3!K86</f>
        <v>327</v>
      </c>
      <c r="AX67" s="6">
        <f>Site3!L86</f>
        <v>349</v>
      </c>
      <c r="AY67" s="6">
        <f>Site3!M86</f>
        <v>374</v>
      </c>
      <c r="AZ67" s="6">
        <f>Site3!N86</f>
        <v>399</v>
      </c>
      <c r="BA67" s="6">
        <f>Site3!O86</f>
        <v>425</v>
      </c>
      <c r="BB67" s="6">
        <f>Site3!P86</f>
        <v>454</v>
      </c>
      <c r="BD67" s="6">
        <f>Site4!E86</f>
        <v>0</v>
      </c>
      <c r="BE67" s="6">
        <f>Site4!F86</f>
        <v>0</v>
      </c>
      <c r="BF67" s="6">
        <f>Site4!G86</f>
        <v>0</v>
      </c>
      <c r="BG67" s="6">
        <f>Site4!H86</f>
        <v>0</v>
      </c>
      <c r="BH67" s="6">
        <f>Site4!I86</f>
        <v>0</v>
      </c>
      <c r="BI67" s="6">
        <f>Site4!J86</f>
        <v>0</v>
      </c>
      <c r="BJ67" s="6">
        <f>Site4!K86</f>
        <v>0</v>
      </c>
      <c r="BK67" s="6">
        <f>Site4!L86</f>
        <v>0</v>
      </c>
      <c r="BL67" s="6">
        <f>Site4!M86</f>
        <v>0</v>
      </c>
      <c r="BM67" s="6">
        <f>Site4!N86</f>
        <v>0</v>
      </c>
      <c r="BN67" s="6">
        <f>Site4!O86</f>
        <v>0</v>
      </c>
      <c r="BO67" s="6">
        <f>Site4!P86</f>
        <v>0</v>
      </c>
      <c r="BQ67" s="6">
        <f>Site5!E86</f>
        <v>150</v>
      </c>
      <c r="BR67" s="6">
        <f>Site5!F86</f>
        <v>214</v>
      </c>
      <c r="BS67" s="6">
        <f>Site5!G86</f>
        <v>250</v>
      </c>
      <c r="BT67" s="6">
        <f>Site5!H86</f>
        <v>267</v>
      </c>
      <c r="BU67" s="6">
        <f>Site5!I86</f>
        <v>285</v>
      </c>
      <c r="BV67" s="6">
        <f>Site5!J86</f>
        <v>306</v>
      </c>
      <c r="BW67" s="6">
        <f>Site5!K86</f>
        <v>327</v>
      </c>
      <c r="BX67" s="6">
        <f>Site5!L86</f>
        <v>349</v>
      </c>
      <c r="BY67" s="6">
        <f>Site5!M86</f>
        <v>374</v>
      </c>
      <c r="BZ67" s="6">
        <f>Site5!N86</f>
        <v>399</v>
      </c>
      <c r="CA67" s="6">
        <f>Site5!O86</f>
        <v>425</v>
      </c>
      <c r="CB67" s="6">
        <f>Site5!P86</f>
        <v>454</v>
      </c>
      <c r="CD67" s="6">
        <f>Site6!E86</f>
        <v>0</v>
      </c>
      <c r="CE67" s="6">
        <f>Site6!F86</f>
        <v>0</v>
      </c>
      <c r="CF67" s="6">
        <f>Site6!G86</f>
        <v>0</v>
      </c>
      <c r="CG67" s="6">
        <f>Site6!H86</f>
        <v>0</v>
      </c>
      <c r="CH67" s="6">
        <f>Site6!I86</f>
        <v>0</v>
      </c>
      <c r="CI67" s="6">
        <f>Site6!J86</f>
        <v>0</v>
      </c>
      <c r="CJ67" s="6">
        <f>Site6!K86</f>
        <v>0</v>
      </c>
      <c r="CK67" s="6">
        <f>Site6!L86</f>
        <v>0</v>
      </c>
      <c r="CL67" s="6">
        <f>Site6!M86</f>
        <v>0</v>
      </c>
      <c r="CM67" s="6">
        <f>Site6!N86</f>
        <v>0</v>
      </c>
      <c r="CN67" s="6">
        <f>Site6!O86</f>
        <v>0</v>
      </c>
      <c r="CO67" s="6">
        <f>Site6!P86</f>
        <v>0</v>
      </c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s="2" customFormat="1" hidden="1" outlineLevel="1" x14ac:dyDescent="0.25">
      <c r="A68" s="145">
        <v>6300</v>
      </c>
      <c r="B68" s="18" t="s">
        <v>478</v>
      </c>
      <c r="D68" s="154">
        <f t="shared" si="10"/>
        <v>2800</v>
      </c>
      <c r="E68" s="154">
        <f t="shared" si="11"/>
        <v>2800</v>
      </c>
      <c r="F68" s="154">
        <f t="shared" si="12"/>
        <v>2900</v>
      </c>
      <c r="G68" s="154">
        <f t="shared" si="13"/>
        <v>2900</v>
      </c>
      <c r="H68" s="154">
        <f t="shared" si="14"/>
        <v>2900</v>
      </c>
      <c r="I68" s="154">
        <f t="shared" si="15"/>
        <v>2900</v>
      </c>
      <c r="J68" s="154">
        <f t="shared" si="16"/>
        <v>2900</v>
      </c>
      <c r="K68" s="154">
        <f t="shared" si="17"/>
        <v>2900</v>
      </c>
      <c r="L68" s="154">
        <f t="shared" si="18"/>
        <v>2900</v>
      </c>
      <c r="M68" s="154">
        <f t="shared" si="19"/>
        <v>2900</v>
      </c>
      <c r="N68" s="154">
        <f t="shared" si="20"/>
        <v>2900</v>
      </c>
      <c r="O68" s="154">
        <f t="shared" si="21"/>
        <v>2900</v>
      </c>
      <c r="Q68" s="6">
        <f>Site1!E87</f>
        <v>2000</v>
      </c>
      <c r="R68" s="6">
        <f>Site1!F87</f>
        <v>2000</v>
      </c>
      <c r="S68" s="6">
        <f>Site1!G87</f>
        <v>2000</v>
      </c>
      <c r="T68" s="6">
        <f>Site1!H87</f>
        <v>2000</v>
      </c>
      <c r="U68" s="6">
        <f>Site1!I87</f>
        <v>2000</v>
      </c>
      <c r="V68" s="6">
        <f>Site1!J87</f>
        <v>2000</v>
      </c>
      <c r="W68" s="6">
        <f>Site1!K87</f>
        <v>2000</v>
      </c>
      <c r="X68" s="6">
        <f>Site1!L87</f>
        <v>2000</v>
      </c>
      <c r="Y68" s="6">
        <f>Site1!M87</f>
        <v>2000</v>
      </c>
      <c r="Z68" s="6">
        <f>Site1!N87</f>
        <v>2000</v>
      </c>
      <c r="AA68" s="6">
        <f>Site1!O87</f>
        <v>2000</v>
      </c>
      <c r="AB68" s="6">
        <f>Site1!P87</f>
        <v>2000</v>
      </c>
      <c r="AD68" s="6">
        <f>Site2!E87</f>
        <v>100</v>
      </c>
      <c r="AE68" s="6">
        <f>Site2!F87</f>
        <v>100</v>
      </c>
      <c r="AF68" s="6">
        <f>Site2!G87</f>
        <v>100</v>
      </c>
      <c r="AG68" s="6">
        <f>Site2!H87</f>
        <v>100</v>
      </c>
      <c r="AH68" s="6">
        <f>Site2!I87</f>
        <v>100</v>
      </c>
      <c r="AI68" s="6">
        <f>Site2!J87</f>
        <v>100</v>
      </c>
      <c r="AJ68" s="6">
        <f>Site2!K87</f>
        <v>100</v>
      </c>
      <c r="AK68" s="6">
        <f>Site2!L87</f>
        <v>100</v>
      </c>
      <c r="AL68" s="6">
        <f>Site2!M87</f>
        <v>100</v>
      </c>
      <c r="AM68" s="6">
        <f>Site2!N87</f>
        <v>100</v>
      </c>
      <c r="AN68" s="6">
        <f>Site2!O87</f>
        <v>100</v>
      </c>
      <c r="AO68" s="6">
        <f>Site2!P87</f>
        <v>100</v>
      </c>
      <c r="AQ68" s="6">
        <f>Site3!E87</f>
        <v>100</v>
      </c>
      <c r="AR68" s="6">
        <f>Site3!F87</f>
        <v>100</v>
      </c>
      <c r="AS68" s="6">
        <f>Site3!G87</f>
        <v>100</v>
      </c>
      <c r="AT68" s="6">
        <f>Site3!H87</f>
        <v>100</v>
      </c>
      <c r="AU68" s="6">
        <f>Site3!I87</f>
        <v>100</v>
      </c>
      <c r="AV68" s="6">
        <f>Site3!J87</f>
        <v>100</v>
      </c>
      <c r="AW68" s="6">
        <f>Site3!K87</f>
        <v>100</v>
      </c>
      <c r="AX68" s="6">
        <f>Site3!L87</f>
        <v>100</v>
      </c>
      <c r="AY68" s="6">
        <f>Site3!M87</f>
        <v>100</v>
      </c>
      <c r="AZ68" s="6">
        <f>Site3!N87</f>
        <v>100</v>
      </c>
      <c r="BA68" s="6">
        <f>Site3!O87</f>
        <v>100</v>
      </c>
      <c r="BB68" s="6">
        <f>Site3!P87</f>
        <v>100</v>
      </c>
      <c r="BD68" s="6">
        <f>Site4!E87</f>
        <v>100</v>
      </c>
      <c r="BE68" s="6">
        <f>Site4!F87</f>
        <v>100</v>
      </c>
      <c r="BF68" s="6">
        <f>Site4!G87</f>
        <v>100</v>
      </c>
      <c r="BG68" s="6">
        <f>Site4!H87</f>
        <v>100</v>
      </c>
      <c r="BH68" s="6">
        <f>Site4!I87</f>
        <v>100</v>
      </c>
      <c r="BI68" s="6">
        <f>Site4!J87</f>
        <v>100</v>
      </c>
      <c r="BJ68" s="6">
        <f>Site4!K87</f>
        <v>100</v>
      </c>
      <c r="BK68" s="6">
        <f>Site4!L87</f>
        <v>100</v>
      </c>
      <c r="BL68" s="6">
        <f>Site4!M87</f>
        <v>100</v>
      </c>
      <c r="BM68" s="6">
        <f>Site4!N87</f>
        <v>100</v>
      </c>
      <c r="BN68" s="6">
        <f>Site4!O87</f>
        <v>100</v>
      </c>
      <c r="BO68" s="6">
        <f>Site4!P87</f>
        <v>100</v>
      </c>
      <c r="BQ68" s="6">
        <f>Site5!E87</f>
        <v>500</v>
      </c>
      <c r="BR68" s="6">
        <f>Site5!F87</f>
        <v>500</v>
      </c>
      <c r="BS68" s="6">
        <f>Site5!G87</f>
        <v>500</v>
      </c>
      <c r="BT68" s="6">
        <f>Site5!H87</f>
        <v>500</v>
      </c>
      <c r="BU68" s="6">
        <f>Site5!I87</f>
        <v>500</v>
      </c>
      <c r="BV68" s="6">
        <f>Site5!J87</f>
        <v>500</v>
      </c>
      <c r="BW68" s="6">
        <f>Site5!K87</f>
        <v>500</v>
      </c>
      <c r="BX68" s="6">
        <f>Site5!L87</f>
        <v>500</v>
      </c>
      <c r="BY68" s="6">
        <f>Site5!M87</f>
        <v>500</v>
      </c>
      <c r="BZ68" s="6">
        <f>Site5!N87</f>
        <v>500</v>
      </c>
      <c r="CA68" s="6">
        <f>Site5!O87</f>
        <v>500</v>
      </c>
      <c r="CB68" s="6">
        <f>Site5!P87</f>
        <v>500</v>
      </c>
      <c r="CD68" s="6">
        <f>Site6!E87</f>
        <v>0</v>
      </c>
      <c r="CE68" s="6">
        <f>Site6!F87</f>
        <v>0</v>
      </c>
      <c r="CF68" s="6">
        <f>Site6!G87</f>
        <v>100</v>
      </c>
      <c r="CG68" s="6">
        <f>Site6!H87</f>
        <v>100</v>
      </c>
      <c r="CH68" s="6">
        <f>Site6!I87</f>
        <v>100</v>
      </c>
      <c r="CI68" s="6">
        <f>Site6!J87</f>
        <v>100</v>
      </c>
      <c r="CJ68" s="6">
        <f>Site6!K87</f>
        <v>100</v>
      </c>
      <c r="CK68" s="6">
        <f>Site6!L87</f>
        <v>100</v>
      </c>
      <c r="CL68" s="6">
        <f>Site6!M87</f>
        <v>100</v>
      </c>
      <c r="CM68" s="6">
        <f>Site6!N87</f>
        <v>100</v>
      </c>
      <c r="CN68" s="6">
        <f>Site6!O87</f>
        <v>100</v>
      </c>
      <c r="CO68" s="6">
        <f>Site6!P87</f>
        <v>100</v>
      </c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s="2" customFormat="1" hidden="1" outlineLevel="1" x14ac:dyDescent="0.25">
      <c r="A69" s="145">
        <v>6300</v>
      </c>
      <c r="B69" s="18" t="s">
        <v>479</v>
      </c>
      <c r="D69" s="154">
        <f t="shared" si="10"/>
        <v>1625</v>
      </c>
      <c r="E69" s="154">
        <f t="shared" si="11"/>
        <v>1625</v>
      </c>
      <c r="F69" s="154">
        <f t="shared" si="12"/>
        <v>1875</v>
      </c>
      <c r="G69" s="154">
        <f t="shared" si="13"/>
        <v>1875</v>
      </c>
      <c r="H69" s="154">
        <f t="shared" si="14"/>
        <v>1875</v>
      </c>
      <c r="I69" s="154">
        <f t="shared" si="15"/>
        <v>1875</v>
      </c>
      <c r="J69" s="154">
        <f t="shared" si="16"/>
        <v>1875</v>
      </c>
      <c r="K69" s="154">
        <f t="shared" si="17"/>
        <v>1875</v>
      </c>
      <c r="L69" s="154">
        <f t="shared" si="18"/>
        <v>1875</v>
      </c>
      <c r="M69" s="154">
        <f t="shared" si="19"/>
        <v>1875</v>
      </c>
      <c r="N69" s="154">
        <f t="shared" si="20"/>
        <v>1875</v>
      </c>
      <c r="O69" s="154">
        <f t="shared" si="21"/>
        <v>1875</v>
      </c>
      <c r="Q69" s="6">
        <f>Site1!E88</f>
        <v>125</v>
      </c>
      <c r="R69" s="6">
        <f>Site1!F88</f>
        <v>125</v>
      </c>
      <c r="S69" s="6">
        <f>Site1!G88</f>
        <v>125</v>
      </c>
      <c r="T69" s="6">
        <f>Site1!H88</f>
        <v>125</v>
      </c>
      <c r="U69" s="6">
        <f>Site1!I88</f>
        <v>125</v>
      </c>
      <c r="V69" s="6">
        <f>Site1!J88</f>
        <v>125</v>
      </c>
      <c r="W69" s="6">
        <f>Site1!K88</f>
        <v>125</v>
      </c>
      <c r="X69" s="6">
        <f>Site1!L88</f>
        <v>125</v>
      </c>
      <c r="Y69" s="6">
        <f>Site1!M88</f>
        <v>125</v>
      </c>
      <c r="Z69" s="6">
        <f>Site1!N88</f>
        <v>125</v>
      </c>
      <c r="AA69" s="6">
        <f>Site1!O88</f>
        <v>125</v>
      </c>
      <c r="AB69" s="6">
        <f>Site1!P88</f>
        <v>125</v>
      </c>
      <c r="AD69" s="6">
        <f>Site2!E88</f>
        <v>125</v>
      </c>
      <c r="AE69" s="6">
        <f>Site2!F88</f>
        <v>125</v>
      </c>
      <c r="AF69" s="6">
        <f>Site2!G88</f>
        <v>125</v>
      </c>
      <c r="AG69" s="6">
        <f>Site2!H88</f>
        <v>125</v>
      </c>
      <c r="AH69" s="6">
        <f>Site2!I88</f>
        <v>125</v>
      </c>
      <c r="AI69" s="6">
        <f>Site2!J88</f>
        <v>125</v>
      </c>
      <c r="AJ69" s="6">
        <f>Site2!K88</f>
        <v>125</v>
      </c>
      <c r="AK69" s="6">
        <f>Site2!L88</f>
        <v>125</v>
      </c>
      <c r="AL69" s="6">
        <f>Site2!M88</f>
        <v>125</v>
      </c>
      <c r="AM69" s="6">
        <f>Site2!N88</f>
        <v>125</v>
      </c>
      <c r="AN69" s="6">
        <f>Site2!O88</f>
        <v>125</v>
      </c>
      <c r="AO69" s="6">
        <f>Site2!P88</f>
        <v>125</v>
      </c>
      <c r="AQ69" s="6">
        <f>Site3!E88</f>
        <v>1000</v>
      </c>
      <c r="AR69" s="6">
        <f>Site3!F88</f>
        <v>1000</v>
      </c>
      <c r="AS69" s="6">
        <f>Site3!G88</f>
        <v>1000</v>
      </c>
      <c r="AT69" s="6">
        <f>Site3!H88</f>
        <v>1000</v>
      </c>
      <c r="AU69" s="6">
        <f>Site3!I88</f>
        <v>1000</v>
      </c>
      <c r="AV69" s="6">
        <f>Site3!J88</f>
        <v>1000</v>
      </c>
      <c r="AW69" s="6">
        <f>Site3!K88</f>
        <v>1000</v>
      </c>
      <c r="AX69" s="6">
        <f>Site3!L88</f>
        <v>1000</v>
      </c>
      <c r="AY69" s="6">
        <f>Site3!M88</f>
        <v>1000</v>
      </c>
      <c r="AZ69" s="6">
        <f>Site3!N88</f>
        <v>1000</v>
      </c>
      <c r="BA69" s="6">
        <f>Site3!O88</f>
        <v>1000</v>
      </c>
      <c r="BB69" s="6">
        <f>Site3!P88</f>
        <v>1000</v>
      </c>
      <c r="BD69" s="6">
        <f>Site4!E88</f>
        <v>250</v>
      </c>
      <c r="BE69" s="6">
        <f>Site4!F88</f>
        <v>250</v>
      </c>
      <c r="BF69" s="6">
        <f>Site4!G88</f>
        <v>250</v>
      </c>
      <c r="BG69" s="6">
        <f>Site4!H88</f>
        <v>250</v>
      </c>
      <c r="BH69" s="6">
        <f>Site4!I88</f>
        <v>250</v>
      </c>
      <c r="BI69" s="6">
        <f>Site4!J88</f>
        <v>250</v>
      </c>
      <c r="BJ69" s="6">
        <f>Site4!K88</f>
        <v>250</v>
      </c>
      <c r="BK69" s="6">
        <f>Site4!L88</f>
        <v>250</v>
      </c>
      <c r="BL69" s="6">
        <f>Site4!M88</f>
        <v>250</v>
      </c>
      <c r="BM69" s="6">
        <f>Site4!N88</f>
        <v>250</v>
      </c>
      <c r="BN69" s="6">
        <f>Site4!O88</f>
        <v>250</v>
      </c>
      <c r="BO69" s="6">
        <f>Site4!P88</f>
        <v>250</v>
      </c>
      <c r="BQ69" s="6">
        <f>Site5!E88</f>
        <v>125</v>
      </c>
      <c r="BR69" s="6">
        <f>Site5!F88</f>
        <v>125</v>
      </c>
      <c r="BS69" s="6">
        <f>Site5!G88</f>
        <v>125</v>
      </c>
      <c r="BT69" s="6">
        <f>Site5!H88</f>
        <v>125</v>
      </c>
      <c r="BU69" s="6">
        <f>Site5!I88</f>
        <v>125</v>
      </c>
      <c r="BV69" s="6">
        <f>Site5!J88</f>
        <v>125</v>
      </c>
      <c r="BW69" s="6">
        <f>Site5!K88</f>
        <v>125</v>
      </c>
      <c r="BX69" s="6">
        <f>Site5!L88</f>
        <v>125</v>
      </c>
      <c r="BY69" s="6">
        <f>Site5!M88</f>
        <v>125</v>
      </c>
      <c r="BZ69" s="6">
        <f>Site5!N88</f>
        <v>125</v>
      </c>
      <c r="CA69" s="6">
        <f>Site5!O88</f>
        <v>125</v>
      </c>
      <c r="CB69" s="6">
        <f>Site5!P88</f>
        <v>125</v>
      </c>
      <c r="CD69" s="6">
        <f>Site6!E88</f>
        <v>0</v>
      </c>
      <c r="CE69" s="6">
        <f>Site6!F88</f>
        <v>0</v>
      </c>
      <c r="CF69" s="6">
        <f>Site6!G88</f>
        <v>250</v>
      </c>
      <c r="CG69" s="6">
        <f>Site6!H88</f>
        <v>250</v>
      </c>
      <c r="CH69" s="6">
        <f>Site6!I88</f>
        <v>250</v>
      </c>
      <c r="CI69" s="6">
        <f>Site6!J88</f>
        <v>250</v>
      </c>
      <c r="CJ69" s="6">
        <f>Site6!K88</f>
        <v>250</v>
      </c>
      <c r="CK69" s="6">
        <f>Site6!L88</f>
        <v>250</v>
      </c>
      <c r="CL69" s="6">
        <f>Site6!M88</f>
        <v>250</v>
      </c>
      <c r="CM69" s="6">
        <f>Site6!N88</f>
        <v>250</v>
      </c>
      <c r="CN69" s="6">
        <f>Site6!O88</f>
        <v>250</v>
      </c>
      <c r="CO69" s="6">
        <f>Site6!P88</f>
        <v>250</v>
      </c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s="2" customFormat="1" hidden="1" outlineLevel="1" x14ac:dyDescent="0.25">
      <c r="A70" s="145">
        <v>6300</v>
      </c>
      <c r="B70" s="18" t="s">
        <v>480</v>
      </c>
      <c r="D70" s="154">
        <f t="shared" si="10"/>
        <v>2410</v>
      </c>
      <c r="E70" s="154">
        <f t="shared" si="11"/>
        <v>2410</v>
      </c>
      <c r="F70" s="154">
        <f t="shared" si="12"/>
        <v>2570</v>
      </c>
      <c r="G70" s="154">
        <f t="shared" si="13"/>
        <v>2570</v>
      </c>
      <c r="H70" s="154">
        <f t="shared" si="14"/>
        <v>2570</v>
      </c>
      <c r="I70" s="154">
        <f t="shared" si="15"/>
        <v>2570</v>
      </c>
      <c r="J70" s="154">
        <f t="shared" si="16"/>
        <v>2570</v>
      </c>
      <c r="K70" s="154">
        <f t="shared" si="17"/>
        <v>2570</v>
      </c>
      <c r="L70" s="154">
        <f t="shared" si="18"/>
        <v>2570</v>
      </c>
      <c r="M70" s="154">
        <f t="shared" si="19"/>
        <v>2570</v>
      </c>
      <c r="N70" s="154">
        <f t="shared" si="20"/>
        <v>2570</v>
      </c>
      <c r="O70" s="154">
        <f t="shared" si="21"/>
        <v>2570</v>
      </c>
      <c r="Q70" s="6">
        <f>Site1!E89</f>
        <v>200</v>
      </c>
      <c r="R70" s="6">
        <f>Site1!F89</f>
        <v>200</v>
      </c>
      <c r="S70" s="6">
        <f>Site1!G89</f>
        <v>200</v>
      </c>
      <c r="T70" s="6">
        <f>Site1!H89</f>
        <v>200</v>
      </c>
      <c r="U70" s="6">
        <f>Site1!I89</f>
        <v>200</v>
      </c>
      <c r="V70" s="6">
        <f>Site1!J89</f>
        <v>200</v>
      </c>
      <c r="W70" s="6">
        <f>Site1!K89</f>
        <v>200</v>
      </c>
      <c r="X70" s="6">
        <f>Site1!L89</f>
        <v>200</v>
      </c>
      <c r="Y70" s="6">
        <f>Site1!M89</f>
        <v>200</v>
      </c>
      <c r="Z70" s="6">
        <f>Site1!N89</f>
        <v>200</v>
      </c>
      <c r="AA70" s="6">
        <f>Site1!O89</f>
        <v>200</v>
      </c>
      <c r="AB70" s="6">
        <f>Site1!P89</f>
        <v>200</v>
      </c>
      <c r="AD70" s="6">
        <f>Site2!E89</f>
        <v>1250</v>
      </c>
      <c r="AE70" s="6">
        <f>Site2!F89</f>
        <v>1250</v>
      </c>
      <c r="AF70" s="6">
        <f>Site2!G89</f>
        <v>1250</v>
      </c>
      <c r="AG70" s="6">
        <f>Site2!H89</f>
        <v>1250</v>
      </c>
      <c r="AH70" s="6">
        <f>Site2!I89</f>
        <v>1250</v>
      </c>
      <c r="AI70" s="6">
        <f>Site2!J89</f>
        <v>1250</v>
      </c>
      <c r="AJ70" s="6">
        <f>Site2!K89</f>
        <v>1250</v>
      </c>
      <c r="AK70" s="6">
        <f>Site2!L89</f>
        <v>1250</v>
      </c>
      <c r="AL70" s="6">
        <f>Site2!M89</f>
        <v>1250</v>
      </c>
      <c r="AM70" s="6">
        <f>Site2!N89</f>
        <v>1250</v>
      </c>
      <c r="AN70" s="6">
        <f>Site2!O89</f>
        <v>1250</v>
      </c>
      <c r="AO70" s="6">
        <f>Site2!P89</f>
        <v>1250</v>
      </c>
      <c r="AQ70" s="6">
        <f>Site3!E89</f>
        <v>600</v>
      </c>
      <c r="AR70" s="6">
        <f>Site3!F89</f>
        <v>600</v>
      </c>
      <c r="AS70" s="6">
        <f>Site3!G89</f>
        <v>600</v>
      </c>
      <c r="AT70" s="6">
        <f>Site3!H89</f>
        <v>600</v>
      </c>
      <c r="AU70" s="6">
        <f>Site3!I89</f>
        <v>600</v>
      </c>
      <c r="AV70" s="6">
        <f>Site3!J89</f>
        <v>600</v>
      </c>
      <c r="AW70" s="6">
        <f>Site3!K89</f>
        <v>600</v>
      </c>
      <c r="AX70" s="6">
        <f>Site3!L89</f>
        <v>600</v>
      </c>
      <c r="AY70" s="6">
        <f>Site3!M89</f>
        <v>600</v>
      </c>
      <c r="AZ70" s="6">
        <f>Site3!N89</f>
        <v>600</v>
      </c>
      <c r="BA70" s="6">
        <f>Site3!O89</f>
        <v>600</v>
      </c>
      <c r="BB70" s="6">
        <f>Site3!P89</f>
        <v>600</v>
      </c>
      <c r="BD70" s="6">
        <f>Site4!E89</f>
        <v>160</v>
      </c>
      <c r="BE70" s="6">
        <f>Site4!F89</f>
        <v>160</v>
      </c>
      <c r="BF70" s="6">
        <f>Site4!G89</f>
        <v>160</v>
      </c>
      <c r="BG70" s="6">
        <f>Site4!H89</f>
        <v>160</v>
      </c>
      <c r="BH70" s="6">
        <f>Site4!I89</f>
        <v>160</v>
      </c>
      <c r="BI70" s="6">
        <f>Site4!J89</f>
        <v>160</v>
      </c>
      <c r="BJ70" s="6">
        <f>Site4!K89</f>
        <v>160</v>
      </c>
      <c r="BK70" s="6">
        <f>Site4!L89</f>
        <v>160</v>
      </c>
      <c r="BL70" s="6">
        <f>Site4!M89</f>
        <v>160</v>
      </c>
      <c r="BM70" s="6">
        <f>Site4!N89</f>
        <v>160</v>
      </c>
      <c r="BN70" s="6">
        <f>Site4!O89</f>
        <v>160</v>
      </c>
      <c r="BO70" s="6">
        <f>Site4!P89</f>
        <v>160</v>
      </c>
      <c r="BQ70" s="6">
        <f>Site5!E89</f>
        <v>200</v>
      </c>
      <c r="BR70" s="6">
        <f>Site5!F89</f>
        <v>200</v>
      </c>
      <c r="BS70" s="6">
        <f>Site5!G89</f>
        <v>200</v>
      </c>
      <c r="BT70" s="6">
        <f>Site5!H89</f>
        <v>200</v>
      </c>
      <c r="BU70" s="6">
        <f>Site5!I89</f>
        <v>200</v>
      </c>
      <c r="BV70" s="6">
        <f>Site5!J89</f>
        <v>200</v>
      </c>
      <c r="BW70" s="6">
        <f>Site5!K89</f>
        <v>200</v>
      </c>
      <c r="BX70" s="6">
        <f>Site5!L89</f>
        <v>200</v>
      </c>
      <c r="BY70" s="6">
        <f>Site5!M89</f>
        <v>200</v>
      </c>
      <c r="BZ70" s="6">
        <f>Site5!N89</f>
        <v>200</v>
      </c>
      <c r="CA70" s="6">
        <f>Site5!O89</f>
        <v>200</v>
      </c>
      <c r="CB70" s="6">
        <f>Site5!P89</f>
        <v>200</v>
      </c>
      <c r="CD70" s="6">
        <f>Site6!E89</f>
        <v>0</v>
      </c>
      <c r="CE70" s="6">
        <f>Site6!F89</f>
        <v>0</v>
      </c>
      <c r="CF70" s="6">
        <f>Site6!G89</f>
        <v>160</v>
      </c>
      <c r="CG70" s="6">
        <f>Site6!H89</f>
        <v>160</v>
      </c>
      <c r="CH70" s="6">
        <f>Site6!I89</f>
        <v>160</v>
      </c>
      <c r="CI70" s="6">
        <f>Site6!J89</f>
        <v>160</v>
      </c>
      <c r="CJ70" s="6">
        <f>Site6!K89</f>
        <v>160</v>
      </c>
      <c r="CK70" s="6">
        <f>Site6!L89</f>
        <v>160</v>
      </c>
      <c r="CL70" s="6">
        <f>Site6!M89</f>
        <v>160</v>
      </c>
      <c r="CM70" s="6">
        <f>Site6!N89</f>
        <v>160</v>
      </c>
      <c r="CN70" s="6">
        <f>Site6!O89</f>
        <v>160</v>
      </c>
      <c r="CO70" s="6">
        <f>Site6!P89</f>
        <v>160</v>
      </c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s="2" customFormat="1" hidden="1" outlineLevel="1" x14ac:dyDescent="0.25">
      <c r="A71" s="145">
        <v>6300</v>
      </c>
      <c r="B71" s="18" t="s">
        <v>483</v>
      </c>
      <c r="D71" s="154">
        <f t="shared" si="10"/>
        <v>3790</v>
      </c>
      <c r="E71" s="154">
        <f t="shared" si="11"/>
        <v>3790</v>
      </c>
      <c r="F71" s="154">
        <f t="shared" si="12"/>
        <v>4230</v>
      </c>
      <c r="G71" s="154">
        <f t="shared" si="13"/>
        <v>4230</v>
      </c>
      <c r="H71" s="154">
        <f t="shared" si="14"/>
        <v>4230</v>
      </c>
      <c r="I71" s="154">
        <f t="shared" si="15"/>
        <v>4230</v>
      </c>
      <c r="J71" s="154">
        <f t="shared" si="16"/>
        <v>4230</v>
      </c>
      <c r="K71" s="154">
        <f t="shared" si="17"/>
        <v>4230</v>
      </c>
      <c r="L71" s="154">
        <f t="shared" si="18"/>
        <v>4230</v>
      </c>
      <c r="M71" s="154">
        <f t="shared" si="19"/>
        <v>4230</v>
      </c>
      <c r="N71" s="154">
        <f t="shared" si="20"/>
        <v>4230</v>
      </c>
      <c r="O71" s="154">
        <f t="shared" si="21"/>
        <v>4230</v>
      </c>
      <c r="Q71" s="6">
        <f>Site1!E90</f>
        <v>2250</v>
      </c>
      <c r="R71" s="6">
        <f>Site1!F90</f>
        <v>2250</v>
      </c>
      <c r="S71" s="6">
        <f>Site1!G90</f>
        <v>2250</v>
      </c>
      <c r="T71" s="6">
        <f>Site1!H90</f>
        <v>2250</v>
      </c>
      <c r="U71" s="6">
        <f>Site1!I90</f>
        <v>2250</v>
      </c>
      <c r="V71" s="6">
        <f>Site1!J90</f>
        <v>2250</v>
      </c>
      <c r="W71" s="6">
        <f>Site1!K90</f>
        <v>2250</v>
      </c>
      <c r="X71" s="6">
        <f>Site1!L90</f>
        <v>2250</v>
      </c>
      <c r="Y71" s="6">
        <f>Site1!M90</f>
        <v>2250</v>
      </c>
      <c r="Z71" s="6">
        <f>Site1!N90</f>
        <v>2250</v>
      </c>
      <c r="AA71" s="6">
        <f>Site1!O90</f>
        <v>2250</v>
      </c>
      <c r="AB71" s="6">
        <f>Site1!P90</f>
        <v>2250</v>
      </c>
      <c r="AD71" s="6">
        <f>Site2!E90</f>
        <v>0</v>
      </c>
      <c r="AE71" s="6">
        <f>Site2!F90</f>
        <v>0</v>
      </c>
      <c r="AF71" s="6">
        <f>Site2!G90</f>
        <v>0</v>
      </c>
      <c r="AG71" s="6">
        <f>Site2!H90</f>
        <v>0</v>
      </c>
      <c r="AH71" s="6">
        <f>Site2!I90</f>
        <v>0</v>
      </c>
      <c r="AI71" s="6">
        <f>Site2!J90</f>
        <v>0</v>
      </c>
      <c r="AJ71" s="6">
        <f>Site2!K90</f>
        <v>0</v>
      </c>
      <c r="AK71" s="6">
        <f>Site2!L90</f>
        <v>0</v>
      </c>
      <c r="AL71" s="6">
        <f>Site2!M90</f>
        <v>0</v>
      </c>
      <c r="AM71" s="6">
        <f>Site2!N90</f>
        <v>0</v>
      </c>
      <c r="AN71" s="6">
        <f>Site2!O90</f>
        <v>0</v>
      </c>
      <c r="AO71" s="6">
        <f>Site2!P90</f>
        <v>0</v>
      </c>
      <c r="AQ71" s="6">
        <f>Site3!E90</f>
        <v>0</v>
      </c>
      <c r="AR71" s="6">
        <f>Site3!F90</f>
        <v>0</v>
      </c>
      <c r="AS71" s="6">
        <f>Site3!G90</f>
        <v>0</v>
      </c>
      <c r="AT71" s="6">
        <f>Site3!H90</f>
        <v>0</v>
      </c>
      <c r="AU71" s="6">
        <f>Site3!I90</f>
        <v>0</v>
      </c>
      <c r="AV71" s="6">
        <f>Site3!J90</f>
        <v>0</v>
      </c>
      <c r="AW71" s="6">
        <f>Site3!K90</f>
        <v>0</v>
      </c>
      <c r="AX71" s="6">
        <f>Site3!L90</f>
        <v>0</v>
      </c>
      <c r="AY71" s="6">
        <f>Site3!M90</f>
        <v>0</v>
      </c>
      <c r="AZ71" s="6">
        <f>Site3!N90</f>
        <v>0</v>
      </c>
      <c r="BA71" s="6">
        <f>Site3!O90</f>
        <v>0</v>
      </c>
      <c r="BB71" s="6">
        <f>Site3!P90</f>
        <v>0</v>
      </c>
      <c r="BD71" s="6">
        <f>Site4!E90</f>
        <v>440</v>
      </c>
      <c r="BE71" s="6">
        <f>Site4!F90</f>
        <v>440</v>
      </c>
      <c r="BF71" s="6">
        <f>Site4!G90</f>
        <v>440</v>
      </c>
      <c r="BG71" s="6">
        <f>Site4!H90</f>
        <v>440</v>
      </c>
      <c r="BH71" s="6">
        <f>Site4!I90</f>
        <v>440</v>
      </c>
      <c r="BI71" s="6">
        <f>Site4!J90</f>
        <v>440</v>
      </c>
      <c r="BJ71" s="6">
        <f>Site4!K90</f>
        <v>440</v>
      </c>
      <c r="BK71" s="6">
        <f>Site4!L90</f>
        <v>440</v>
      </c>
      <c r="BL71" s="6">
        <f>Site4!M90</f>
        <v>440</v>
      </c>
      <c r="BM71" s="6">
        <f>Site4!N90</f>
        <v>440</v>
      </c>
      <c r="BN71" s="6">
        <f>Site4!O90</f>
        <v>440</v>
      </c>
      <c r="BO71" s="6">
        <f>Site4!P90</f>
        <v>440</v>
      </c>
      <c r="BQ71" s="6">
        <f>Site5!E90</f>
        <v>1100</v>
      </c>
      <c r="BR71" s="6">
        <f>Site5!F90</f>
        <v>1100</v>
      </c>
      <c r="BS71" s="6">
        <f>Site5!G90</f>
        <v>1100</v>
      </c>
      <c r="BT71" s="6">
        <f>Site5!H90</f>
        <v>1100</v>
      </c>
      <c r="BU71" s="6">
        <f>Site5!I90</f>
        <v>1100</v>
      </c>
      <c r="BV71" s="6">
        <f>Site5!J90</f>
        <v>1100</v>
      </c>
      <c r="BW71" s="6">
        <f>Site5!K90</f>
        <v>1100</v>
      </c>
      <c r="BX71" s="6">
        <f>Site5!L90</f>
        <v>1100</v>
      </c>
      <c r="BY71" s="6">
        <f>Site5!M90</f>
        <v>1100</v>
      </c>
      <c r="BZ71" s="6">
        <f>Site5!N90</f>
        <v>1100</v>
      </c>
      <c r="CA71" s="6">
        <f>Site5!O90</f>
        <v>1100</v>
      </c>
      <c r="CB71" s="6">
        <f>Site5!P90</f>
        <v>1100</v>
      </c>
      <c r="CD71" s="6">
        <f>Site6!E90</f>
        <v>0</v>
      </c>
      <c r="CE71" s="6">
        <f>Site6!F90</f>
        <v>0</v>
      </c>
      <c r="CF71" s="6">
        <f>Site6!G90</f>
        <v>440</v>
      </c>
      <c r="CG71" s="6">
        <f>Site6!H90</f>
        <v>440</v>
      </c>
      <c r="CH71" s="6">
        <f>Site6!I90</f>
        <v>440</v>
      </c>
      <c r="CI71" s="6">
        <f>Site6!J90</f>
        <v>440</v>
      </c>
      <c r="CJ71" s="6">
        <f>Site6!K90</f>
        <v>440</v>
      </c>
      <c r="CK71" s="6">
        <f>Site6!L90</f>
        <v>440</v>
      </c>
      <c r="CL71" s="6">
        <f>Site6!M90</f>
        <v>440</v>
      </c>
      <c r="CM71" s="6">
        <f>Site6!N90</f>
        <v>440</v>
      </c>
      <c r="CN71" s="6">
        <f>Site6!O90</f>
        <v>440</v>
      </c>
      <c r="CO71" s="6">
        <f>Site6!P90</f>
        <v>440</v>
      </c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s="2" customFormat="1" hidden="1" outlineLevel="1" x14ac:dyDescent="0.25">
      <c r="A72" s="145">
        <v>6300</v>
      </c>
      <c r="B72" s="18" t="s">
        <v>519</v>
      </c>
      <c r="D72" s="154">
        <f t="shared" si="10"/>
        <v>0</v>
      </c>
      <c r="E72" s="154">
        <f t="shared" si="11"/>
        <v>0</v>
      </c>
      <c r="F72" s="154">
        <f t="shared" si="12"/>
        <v>0</v>
      </c>
      <c r="G72" s="154">
        <f t="shared" si="13"/>
        <v>0</v>
      </c>
      <c r="H72" s="154">
        <f t="shared" si="14"/>
        <v>0</v>
      </c>
      <c r="I72" s="154">
        <f t="shared" si="15"/>
        <v>0</v>
      </c>
      <c r="J72" s="154">
        <f t="shared" si="16"/>
        <v>0</v>
      </c>
      <c r="K72" s="154">
        <f t="shared" si="17"/>
        <v>0</v>
      </c>
      <c r="L72" s="154">
        <f t="shared" si="18"/>
        <v>0</v>
      </c>
      <c r="M72" s="154">
        <f t="shared" si="19"/>
        <v>0</v>
      </c>
      <c r="N72" s="154">
        <f t="shared" si="20"/>
        <v>0</v>
      </c>
      <c r="O72" s="154">
        <f t="shared" si="21"/>
        <v>0</v>
      </c>
      <c r="Q72" s="6">
        <f>Site1!E91</f>
        <v>0</v>
      </c>
      <c r="R72" s="6">
        <f>Site1!F91</f>
        <v>0</v>
      </c>
      <c r="S72" s="6">
        <f>Site1!G91</f>
        <v>0</v>
      </c>
      <c r="T72" s="6">
        <f>Site1!H91</f>
        <v>0</v>
      </c>
      <c r="U72" s="6">
        <f>Site1!I91</f>
        <v>0</v>
      </c>
      <c r="V72" s="6">
        <f>Site1!J91</f>
        <v>0</v>
      </c>
      <c r="W72" s="6">
        <f>Site1!K91</f>
        <v>0</v>
      </c>
      <c r="X72" s="6">
        <f>Site1!L91</f>
        <v>0</v>
      </c>
      <c r="Y72" s="6">
        <f>Site1!M91</f>
        <v>0</v>
      </c>
      <c r="Z72" s="6">
        <f>Site1!N91</f>
        <v>0</v>
      </c>
      <c r="AA72" s="6">
        <f>Site1!O91</f>
        <v>0</v>
      </c>
      <c r="AB72" s="6">
        <f>Site1!P91</f>
        <v>0</v>
      </c>
      <c r="AD72" s="6">
        <f>Site2!E91</f>
        <v>0</v>
      </c>
      <c r="AE72" s="6">
        <f>Site2!F91</f>
        <v>0</v>
      </c>
      <c r="AF72" s="6">
        <f>Site2!G91</f>
        <v>0</v>
      </c>
      <c r="AG72" s="6">
        <f>Site2!H91</f>
        <v>0</v>
      </c>
      <c r="AH72" s="6">
        <f>Site2!I91</f>
        <v>0</v>
      </c>
      <c r="AI72" s="6">
        <f>Site2!J91</f>
        <v>0</v>
      </c>
      <c r="AJ72" s="6">
        <f>Site2!K91</f>
        <v>0</v>
      </c>
      <c r="AK72" s="6">
        <f>Site2!L91</f>
        <v>0</v>
      </c>
      <c r="AL72" s="6">
        <f>Site2!M91</f>
        <v>0</v>
      </c>
      <c r="AM72" s="6">
        <f>Site2!N91</f>
        <v>0</v>
      </c>
      <c r="AN72" s="6">
        <f>Site2!O91</f>
        <v>0</v>
      </c>
      <c r="AO72" s="6">
        <f>Site2!P91</f>
        <v>0</v>
      </c>
      <c r="AQ72" s="6">
        <f>Site3!E91</f>
        <v>0</v>
      </c>
      <c r="AR72" s="6">
        <f>Site3!F91</f>
        <v>0</v>
      </c>
      <c r="AS72" s="6">
        <f>Site3!G91</f>
        <v>0</v>
      </c>
      <c r="AT72" s="6">
        <f>Site3!H91</f>
        <v>0</v>
      </c>
      <c r="AU72" s="6">
        <f>Site3!I91</f>
        <v>0</v>
      </c>
      <c r="AV72" s="6">
        <f>Site3!J91</f>
        <v>0</v>
      </c>
      <c r="AW72" s="6">
        <f>Site3!K91</f>
        <v>0</v>
      </c>
      <c r="AX72" s="6">
        <f>Site3!L91</f>
        <v>0</v>
      </c>
      <c r="AY72" s="6">
        <f>Site3!M91</f>
        <v>0</v>
      </c>
      <c r="AZ72" s="6">
        <f>Site3!N91</f>
        <v>0</v>
      </c>
      <c r="BA72" s="6">
        <f>Site3!O91</f>
        <v>0</v>
      </c>
      <c r="BB72" s="6">
        <f>Site3!P91</f>
        <v>0</v>
      </c>
      <c r="BD72" s="6">
        <f>Site4!E91</f>
        <v>0</v>
      </c>
      <c r="BE72" s="6">
        <f>Site4!F91</f>
        <v>0</v>
      </c>
      <c r="BF72" s="6">
        <f>Site4!G91</f>
        <v>0</v>
      </c>
      <c r="BG72" s="6">
        <f>Site4!H91</f>
        <v>0</v>
      </c>
      <c r="BH72" s="6">
        <f>Site4!I91</f>
        <v>0</v>
      </c>
      <c r="BI72" s="6">
        <f>Site4!J91</f>
        <v>0</v>
      </c>
      <c r="BJ72" s="6">
        <f>Site4!K91</f>
        <v>0</v>
      </c>
      <c r="BK72" s="6">
        <f>Site4!L91</f>
        <v>0</v>
      </c>
      <c r="BL72" s="6">
        <f>Site4!M91</f>
        <v>0</v>
      </c>
      <c r="BM72" s="6">
        <f>Site4!N91</f>
        <v>0</v>
      </c>
      <c r="BN72" s="6">
        <f>Site4!O91</f>
        <v>0</v>
      </c>
      <c r="BO72" s="6">
        <f>Site4!P91</f>
        <v>0</v>
      </c>
      <c r="BQ72" s="6">
        <f>Site5!E91</f>
        <v>0</v>
      </c>
      <c r="BR72" s="6">
        <f>Site5!F91</f>
        <v>0</v>
      </c>
      <c r="BS72" s="6">
        <f>Site5!G91</f>
        <v>0</v>
      </c>
      <c r="BT72" s="6">
        <f>Site5!H91</f>
        <v>0</v>
      </c>
      <c r="BU72" s="6">
        <f>Site5!I91</f>
        <v>0</v>
      </c>
      <c r="BV72" s="6">
        <f>Site5!J91</f>
        <v>0</v>
      </c>
      <c r="BW72" s="6">
        <f>Site5!K91</f>
        <v>0</v>
      </c>
      <c r="BX72" s="6">
        <f>Site5!L91</f>
        <v>0</v>
      </c>
      <c r="BY72" s="6">
        <f>Site5!M91</f>
        <v>0</v>
      </c>
      <c r="BZ72" s="6">
        <f>Site5!N91</f>
        <v>0</v>
      </c>
      <c r="CA72" s="6">
        <f>Site5!O91</f>
        <v>0</v>
      </c>
      <c r="CB72" s="6">
        <f>Site5!P91</f>
        <v>0</v>
      </c>
      <c r="CD72" s="6">
        <f>Site6!E91</f>
        <v>0</v>
      </c>
      <c r="CE72" s="6">
        <f>Site6!F91</f>
        <v>0</v>
      </c>
      <c r="CF72" s="6">
        <f>Site6!G91</f>
        <v>0</v>
      </c>
      <c r="CG72" s="6">
        <f>Site6!H91</f>
        <v>0</v>
      </c>
      <c r="CH72" s="6">
        <f>Site6!I91</f>
        <v>0</v>
      </c>
      <c r="CI72" s="6">
        <f>Site6!J91</f>
        <v>0</v>
      </c>
      <c r="CJ72" s="6">
        <f>Site6!K91</f>
        <v>0</v>
      </c>
      <c r="CK72" s="6">
        <f>Site6!L91</f>
        <v>0</v>
      </c>
      <c r="CL72" s="6">
        <f>Site6!M91</f>
        <v>0</v>
      </c>
      <c r="CM72" s="6">
        <f>Site6!N91</f>
        <v>0</v>
      </c>
      <c r="CN72" s="6">
        <f>Site6!O91</f>
        <v>0</v>
      </c>
      <c r="CO72" s="6">
        <f>Site6!P91</f>
        <v>0</v>
      </c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s="16" customFormat="1" collapsed="1" x14ac:dyDescent="0.25">
      <c r="A73" s="282">
        <v>300</v>
      </c>
      <c r="B73" s="274" t="s">
        <v>430</v>
      </c>
      <c r="D73" s="260">
        <f t="shared" si="10"/>
        <v>11945</v>
      </c>
      <c r="E73" s="260">
        <f t="shared" si="11"/>
        <v>12103</v>
      </c>
      <c r="F73" s="260">
        <f t="shared" si="12"/>
        <v>13157</v>
      </c>
      <c r="G73" s="260">
        <f t="shared" si="13"/>
        <v>13232</v>
      </c>
      <c r="H73" s="260">
        <f t="shared" si="14"/>
        <v>13312</v>
      </c>
      <c r="I73" s="260">
        <f t="shared" si="15"/>
        <v>13397</v>
      </c>
      <c r="J73" s="260">
        <f t="shared" si="16"/>
        <v>13486</v>
      </c>
      <c r="K73" s="260">
        <f t="shared" si="17"/>
        <v>13577</v>
      </c>
      <c r="L73" s="260">
        <f t="shared" si="18"/>
        <v>13678</v>
      </c>
      <c r="M73" s="260">
        <f t="shared" si="19"/>
        <v>13780</v>
      </c>
      <c r="N73" s="260">
        <f t="shared" si="20"/>
        <v>13884</v>
      </c>
      <c r="O73" s="260">
        <f t="shared" si="21"/>
        <v>13996</v>
      </c>
      <c r="Q73" s="261">
        <f>Site1!E92</f>
        <v>5175</v>
      </c>
      <c r="R73" s="261">
        <f>Site1!F92</f>
        <v>5199</v>
      </c>
      <c r="S73" s="261">
        <f>Site1!G92</f>
        <v>5224</v>
      </c>
      <c r="T73" s="261">
        <f>Site1!H92</f>
        <v>5249</v>
      </c>
      <c r="U73" s="261">
        <f>Site1!I92</f>
        <v>5275</v>
      </c>
      <c r="V73" s="261">
        <f>Site1!J92</f>
        <v>5301</v>
      </c>
      <c r="W73" s="261">
        <f>Site1!K92</f>
        <v>5330</v>
      </c>
      <c r="X73" s="261">
        <f>Site1!L92</f>
        <v>5359</v>
      </c>
      <c r="Y73" s="261">
        <f>Site1!M92</f>
        <v>5389</v>
      </c>
      <c r="Z73" s="261">
        <f>Site1!N92</f>
        <v>5420</v>
      </c>
      <c r="AA73" s="261">
        <f>Site1!O92</f>
        <v>5451</v>
      </c>
      <c r="AB73" s="261">
        <f>Site1!P92</f>
        <v>5483</v>
      </c>
      <c r="AD73" s="261">
        <f>Site2!E92</f>
        <v>1875</v>
      </c>
      <c r="AE73" s="261">
        <f>Site2!F92</f>
        <v>1891</v>
      </c>
      <c r="AF73" s="261">
        <f>Site2!G92</f>
        <v>1908</v>
      </c>
      <c r="AG73" s="261">
        <f>Site2!H92</f>
        <v>1924</v>
      </c>
      <c r="AH73" s="261">
        <f>Site2!I92</f>
        <v>1942</v>
      </c>
      <c r="AI73" s="261">
        <f>Site2!J92</f>
        <v>1959</v>
      </c>
      <c r="AJ73" s="261">
        <f>Site2!K92</f>
        <v>1977</v>
      </c>
      <c r="AK73" s="261">
        <f>Site2!L92</f>
        <v>1995</v>
      </c>
      <c r="AL73" s="261">
        <f>Site2!M92</f>
        <v>2016</v>
      </c>
      <c r="AM73" s="261">
        <f>Site2!N92</f>
        <v>2037</v>
      </c>
      <c r="AN73" s="261">
        <f>Site2!O92</f>
        <v>2058</v>
      </c>
      <c r="AO73" s="261">
        <f>Site2!P92</f>
        <v>2080</v>
      </c>
      <c r="AQ73" s="261">
        <f>Site3!E92</f>
        <v>1870</v>
      </c>
      <c r="AR73" s="261">
        <f>Site3!F92</f>
        <v>1924</v>
      </c>
      <c r="AS73" s="261">
        <f>Site3!G92</f>
        <v>1950</v>
      </c>
      <c r="AT73" s="261">
        <f>Site3!H92</f>
        <v>1967</v>
      </c>
      <c r="AU73" s="261">
        <f>Site3!I92</f>
        <v>1985</v>
      </c>
      <c r="AV73" s="261">
        <f>Site3!J92</f>
        <v>2006</v>
      </c>
      <c r="AW73" s="261">
        <f>Site3!K92</f>
        <v>2027</v>
      </c>
      <c r="AX73" s="261">
        <f>Site3!L92</f>
        <v>2049</v>
      </c>
      <c r="AY73" s="261">
        <f>Site3!M92</f>
        <v>2074</v>
      </c>
      <c r="AZ73" s="261">
        <f>Site3!N92</f>
        <v>2099</v>
      </c>
      <c r="BA73" s="261">
        <f>Site3!O92</f>
        <v>2125</v>
      </c>
      <c r="BB73" s="261">
        <f>Site3!P92</f>
        <v>2154</v>
      </c>
      <c r="BD73" s="261">
        <f>Site4!E92</f>
        <v>950</v>
      </c>
      <c r="BE73" s="261">
        <f>Site4!F92</f>
        <v>950</v>
      </c>
      <c r="BF73" s="261">
        <f>Site4!G92</f>
        <v>950</v>
      </c>
      <c r="BG73" s="261">
        <f>Site4!H92</f>
        <v>950</v>
      </c>
      <c r="BH73" s="261">
        <f>Site4!I92</f>
        <v>950</v>
      </c>
      <c r="BI73" s="261">
        <f>Site4!J92</f>
        <v>950</v>
      </c>
      <c r="BJ73" s="261">
        <f>Site4!K92</f>
        <v>950</v>
      </c>
      <c r="BK73" s="261">
        <f>Site4!L92</f>
        <v>950</v>
      </c>
      <c r="BL73" s="261">
        <f>Site4!M92</f>
        <v>950</v>
      </c>
      <c r="BM73" s="261">
        <f>Site4!N92</f>
        <v>950</v>
      </c>
      <c r="BN73" s="261">
        <f>Site4!O92</f>
        <v>950</v>
      </c>
      <c r="BO73" s="261">
        <f>Site4!P92</f>
        <v>950</v>
      </c>
      <c r="BQ73" s="261">
        <f>Site5!E92</f>
        <v>2075</v>
      </c>
      <c r="BR73" s="261">
        <f>Site5!F92</f>
        <v>2139</v>
      </c>
      <c r="BS73" s="261">
        <f>Site5!G92</f>
        <v>2175</v>
      </c>
      <c r="BT73" s="261">
        <f>Site5!H92</f>
        <v>2192</v>
      </c>
      <c r="BU73" s="261">
        <f>Site5!I92</f>
        <v>2210</v>
      </c>
      <c r="BV73" s="261">
        <f>Site5!J92</f>
        <v>2231</v>
      </c>
      <c r="BW73" s="261">
        <f>Site5!K92</f>
        <v>2252</v>
      </c>
      <c r="BX73" s="261">
        <f>Site5!L92</f>
        <v>2274</v>
      </c>
      <c r="BY73" s="261">
        <f>Site5!M92</f>
        <v>2299</v>
      </c>
      <c r="BZ73" s="261">
        <f>Site5!N92</f>
        <v>2324</v>
      </c>
      <c r="CA73" s="261">
        <f>Site5!O92</f>
        <v>2350</v>
      </c>
      <c r="CB73" s="261">
        <f>Site5!P92</f>
        <v>2379</v>
      </c>
      <c r="CD73" s="261">
        <f>Site6!E92</f>
        <v>0</v>
      </c>
      <c r="CE73" s="261">
        <f>Site6!F92</f>
        <v>0</v>
      </c>
      <c r="CF73" s="261">
        <f>Site6!G92</f>
        <v>950</v>
      </c>
      <c r="CG73" s="261">
        <f>Site6!H92</f>
        <v>950</v>
      </c>
      <c r="CH73" s="261">
        <f>Site6!I92</f>
        <v>950</v>
      </c>
      <c r="CI73" s="261">
        <f>Site6!J92</f>
        <v>950</v>
      </c>
      <c r="CJ73" s="261">
        <f>Site6!K92</f>
        <v>950</v>
      </c>
      <c r="CK73" s="261">
        <f>Site6!L92</f>
        <v>950</v>
      </c>
      <c r="CL73" s="261">
        <f>Site6!M92</f>
        <v>950</v>
      </c>
      <c r="CM73" s="261">
        <f>Site6!N92</f>
        <v>950</v>
      </c>
      <c r="CN73" s="261">
        <f>Site6!O92</f>
        <v>950</v>
      </c>
      <c r="CO73" s="261">
        <f>Site6!P92</f>
        <v>950</v>
      </c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</row>
    <row r="74" spans="1:107" s="2" customFormat="1" hidden="1" outlineLevel="1" x14ac:dyDescent="0.25">
      <c r="A74" s="145">
        <v>6320</v>
      </c>
      <c r="B74" s="18" t="s">
        <v>432</v>
      </c>
      <c r="D74" s="154">
        <f t="shared" si="10"/>
        <v>0</v>
      </c>
      <c r="E74" s="154">
        <f t="shared" si="11"/>
        <v>0</v>
      </c>
      <c r="F74" s="154">
        <f t="shared" si="12"/>
        <v>0</v>
      </c>
      <c r="G74" s="154">
        <f t="shared" si="13"/>
        <v>0</v>
      </c>
      <c r="H74" s="154">
        <f t="shared" si="14"/>
        <v>0</v>
      </c>
      <c r="I74" s="154">
        <f t="shared" si="15"/>
        <v>0</v>
      </c>
      <c r="J74" s="154">
        <f t="shared" si="16"/>
        <v>0</v>
      </c>
      <c r="K74" s="154">
        <f t="shared" si="17"/>
        <v>0</v>
      </c>
      <c r="L74" s="154">
        <f t="shared" si="18"/>
        <v>0</v>
      </c>
      <c r="M74" s="154">
        <f t="shared" si="19"/>
        <v>0</v>
      </c>
      <c r="N74" s="154">
        <f t="shared" si="20"/>
        <v>0</v>
      </c>
      <c r="O74" s="154">
        <f t="shared" si="21"/>
        <v>0</v>
      </c>
      <c r="Q74" s="6">
        <f>Site1!E93</f>
        <v>0</v>
      </c>
      <c r="R74" s="6">
        <f>Site1!F93</f>
        <v>0</v>
      </c>
      <c r="S74" s="6">
        <f>Site1!G93</f>
        <v>0</v>
      </c>
      <c r="T74" s="6">
        <f>Site1!H93</f>
        <v>0</v>
      </c>
      <c r="U74" s="6">
        <f>Site1!I93</f>
        <v>0</v>
      </c>
      <c r="V74" s="6">
        <f>Site1!J93</f>
        <v>0</v>
      </c>
      <c r="W74" s="6">
        <f>Site1!K93</f>
        <v>0</v>
      </c>
      <c r="X74" s="6">
        <f>Site1!L93</f>
        <v>0</v>
      </c>
      <c r="Y74" s="6">
        <f>Site1!M93</f>
        <v>0</v>
      </c>
      <c r="Z74" s="6">
        <f>Site1!N93</f>
        <v>0</v>
      </c>
      <c r="AA74" s="6">
        <f>Site1!O93</f>
        <v>0</v>
      </c>
      <c r="AB74" s="6">
        <f>Site1!P93</f>
        <v>0</v>
      </c>
      <c r="AD74" s="6">
        <f>Site2!E93</f>
        <v>0</v>
      </c>
      <c r="AE74" s="6">
        <f>Site2!F93</f>
        <v>0</v>
      </c>
      <c r="AF74" s="6">
        <f>Site2!G93</f>
        <v>0</v>
      </c>
      <c r="AG74" s="6">
        <f>Site2!H93</f>
        <v>0</v>
      </c>
      <c r="AH74" s="6">
        <f>Site2!I93</f>
        <v>0</v>
      </c>
      <c r="AI74" s="6">
        <f>Site2!J93</f>
        <v>0</v>
      </c>
      <c r="AJ74" s="6">
        <f>Site2!K93</f>
        <v>0</v>
      </c>
      <c r="AK74" s="6">
        <f>Site2!L93</f>
        <v>0</v>
      </c>
      <c r="AL74" s="6">
        <f>Site2!M93</f>
        <v>0</v>
      </c>
      <c r="AM74" s="6">
        <f>Site2!N93</f>
        <v>0</v>
      </c>
      <c r="AN74" s="6">
        <f>Site2!O93</f>
        <v>0</v>
      </c>
      <c r="AO74" s="6">
        <f>Site2!P93</f>
        <v>0</v>
      </c>
      <c r="AQ74" s="6">
        <f>Site3!E93</f>
        <v>0</v>
      </c>
      <c r="AR74" s="6">
        <f>Site3!F93</f>
        <v>0</v>
      </c>
      <c r="AS74" s="6">
        <f>Site3!G93</f>
        <v>0</v>
      </c>
      <c r="AT74" s="6">
        <f>Site3!H93</f>
        <v>0</v>
      </c>
      <c r="AU74" s="6">
        <f>Site3!I93</f>
        <v>0</v>
      </c>
      <c r="AV74" s="6">
        <f>Site3!J93</f>
        <v>0</v>
      </c>
      <c r="AW74" s="6">
        <f>Site3!K93</f>
        <v>0</v>
      </c>
      <c r="AX74" s="6">
        <f>Site3!L93</f>
        <v>0</v>
      </c>
      <c r="AY74" s="6">
        <f>Site3!M93</f>
        <v>0</v>
      </c>
      <c r="AZ74" s="6">
        <f>Site3!N93</f>
        <v>0</v>
      </c>
      <c r="BA74" s="6">
        <f>Site3!O93</f>
        <v>0</v>
      </c>
      <c r="BB74" s="6">
        <f>Site3!P93</f>
        <v>0</v>
      </c>
      <c r="BD74" s="6">
        <f>Site4!E93</f>
        <v>0</v>
      </c>
      <c r="BE74" s="6">
        <f>Site4!F93</f>
        <v>0</v>
      </c>
      <c r="BF74" s="6">
        <f>Site4!G93</f>
        <v>0</v>
      </c>
      <c r="BG74" s="6">
        <f>Site4!H93</f>
        <v>0</v>
      </c>
      <c r="BH74" s="6">
        <f>Site4!I93</f>
        <v>0</v>
      </c>
      <c r="BI74" s="6">
        <f>Site4!J93</f>
        <v>0</v>
      </c>
      <c r="BJ74" s="6">
        <f>Site4!K93</f>
        <v>0</v>
      </c>
      <c r="BK74" s="6">
        <f>Site4!L93</f>
        <v>0</v>
      </c>
      <c r="BL74" s="6">
        <f>Site4!M93</f>
        <v>0</v>
      </c>
      <c r="BM74" s="6">
        <f>Site4!N93</f>
        <v>0</v>
      </c>
      <c r="BN74" s="6">
        <f>Site4!O93</f>
        <v>0</v>
      </c>
      <c r="BO74" s="6">
        <f>Site4!P93</f>
        <v>0</v>
      </c>
      <c r="BQ74" s="6">
        <f>Site5!E93</f>
        <v>0</v>
      </c>
      <c r="BR74" s="6">
        <f>Site5!F93</f>
        <v>0</v>
      </c>
      <c r="BS74" s="6">
        <f>Site5!G93</f>
        <v>0</v>
      </c>
      <c r="BT74" s="6">
        <f>Site5!H93</f>
        <v>0</v>
      </c>
      <c r="BU74" s="6">
        <f>Site5!I93</f>
        <v>0</v>
      </c>
      <c r="BV74" s="6">
        <f>Site5!J93</f>
        <v>0</v>
      </c>
      <c r="BW74" s="6">
        <f>Site5!K93</f>
        <v>0</v>
      </c>
      <c r="BX74" s="6">
        <f>Site5!L93</f>
        <v>0</v>
      </c>
      <c r="BY74" s="6">
        <f>Site5!M93</f>
        <v>0</v>
      </c>
      <c r="BZ74" s="6">
        <f>Site5!N93</f>
        <v>0</v>
      </c>
      <c r="CA74" s="6">
        <f>Site5!O93</f>
        <v>0</v>
      </c>
      <c r="CB74" s="6">
        <f>Site5!P93</f>
        <v>0</v>
      </c>
      <c r="CD74" s="6">
        <f>Site6!E93</f>
        <v>0</v>
      </c>
      <c r="CE74" s="6">
        <f>Site6!F93</f>
        <v>0</v>
      </c>
      <c r="CF74" s="6">
        <f>Site6!G93</f>
        <v>0</v>
      </c>
      <c r="CG74" s="6">
        <f>Site6!H93</f>
        <v>0</v>
      </c>
      <c r="CH74" s="6">
        <f>Site6!I93</f>
        <v>0</v>
      </c>
      <c r="CI74" s="6">
        <f>Site6!J93</f>
        <v>0</v>
      </c>
      <c r="CJ74" s="6">
        <f>Site6!K93</f>
        <v>0</v>
      </c>
      <c r="CK74" s="6">
        <f>Site6!L93</f>
        <v>0</v>
      </c>
      <c r="CL74" s="6">
        <f>Site6!M93</f>
        <v>0</v>
      </c>
      <c r="CM74" s="6">
        <f>Site6!N93</f>
        <v>0</v>
      </c>
      <c r="CN74" s="6">
        <f>Site6!O93</f>
        <v>0</v>
      </c>
      <c r="CO74" s="6">
        <f>Site6!P93</f>
        <v>0</v>
      </c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s="2" customFormat="1" hidden="1" outlineLevel="1" x14ac:dyDescent="0.25">
      <c r="A75" s="145">
        <v>6320</v>
      </c>
      <c r="B75" s="18" t="s">
        <v>431</v>
      </c>
      <c r="D75" s="154">
        <f t="shared" si="10"/>
        <v>0</v>
      </c>
      <c r="E75" s="154">
        <f t="shared" si="11"/>
        <v>0</v>
      </c>
      <c r="F75" s="154">
        <f t="shared" si="12"/>
        <v>0</v>
      </c>
      <c r="G75" s="154">
        <f t="shared" si="13"/>
        <v>0</v>
      </c>
      <c r="H75" s="154">
        <f t="shared" si="14"/>
        <v>0</v>
      </c>
      <c r="I75" s="154">
        <f t="shared" si="15"/>
        <v>0</v>
      </c>
      <c r="J75" s="154">
        <f t="shared" si="16"/>
        <v>0</v>
      </c>
      <c r="K75" s="154">
        <f t="shared" si="17"/>
        <v>0</v>
      </c>
      <c r="L75" s="154">
        <f t="shared" si="18"/>
        <v>0</v>
      </c>
      <c r="M75" s="154">
        <f t="shared" si="19"/>
        <v>0</v>
      </c>
      <c r="N75" s="154">
        <f t="shared" si="20"/>
        <v>0</v>
      </c>
      <c r="O75" s="154">
        <f t="shared" si="21"/>
        <v>0</v>
      </c>
      <c r="Q75" s="6">
        <f>Site1!E94</f>
        <v>0</v>
      </c>
      <c r="R75" s="6">
        <f>Site1!F94</f>
        <v>0</v>
      </c>
      <c r="S75" s="6">
        <f>Site1!G94</f>
        <v>0</v>
      </c>
      <c r="T75" s="6">
        <f>Site1!H94</f>
        <v>0</v>
      </c>
      <c r="U75" s="6">
        <f>Site1!I94</f>
        <v>0</v>
      </c>
      <c r="V75" s="6">
        <f>Site1!J94</f>
        <v>0</v>
      </c>
      <c r="W75" s="6">
        <f>Site1!K94</f>
        <v>0</v>
      </c>
      <c r="X75" s="6">
        <f>Site1!L94</f>
        <v>0</v>
      </c>
      <c r="Y75" s="6">
        <f>Site1!M94</f>
        <v>0</v>
      </c>
      <c r="Z75" s="6">
        <f>Site1!N94</f>
        <v>0</v>
      </c>
      <c r="AA75" s="6">
        <f>Site1!O94</f>
        <v>0</v>
      </c>
      <c r="AB75" s="6">
        <f>Site1!P94</f>
        <v>0</v>
      </c>
      <c r="AD75" s="6">
        <f>Site2!E94</f>
        <v>0</v>
      </c>
      <c r="AE75" s="6">
        <f>Site2!F94</f>
        <v>0</v>
      </c>
      <c r="AF75" s="6">
        <f>Site2!G94</f>
        <v>0</v>
      </c>
      <c r="AG75" s="6">
        <f>Site2!H94</f>
        <v>0</v>
      </c>
      <c r="AH75" s="6">
        <f>Site2!I94</f>
        <v>0</v>
      </c>
      <c r="AI75" s="6">
        <f>Site2!J94</f>
        <v>0</v>
      </c>
      <c r="AJ75" s="6">
        <f>Site2!K94</f>
        <v>0</v>
      </c>
      <c r="AK75" s="6">
        <f>Site2!L94</f>
        <v>0</v>
      </c>
      <c r="AL75" s="6">
        <f>Site2!M94</f>
        <v>0</v>
      </c>
      <c r="AM75" s="6">
        <f>Site2!N94</f>
        <v>0</v>
      </c>
      <c r="AN75" s="6">
        <f>Site2!O94</f>
        <v>0</v>
      </c>
      <c r="AO75" s="6">
        <f>Site2!P94</f>
        <v>0</v>
      </c>
      <c r="AQ75" s="6">
        <f>Site3!E94</f>
        <v>0</v>
      </c>
      <c r="AR75" s="6">
        <f>Site3!F94</f>
        <v>0</v>
      </c>
      <c r="AS75" s="6">
        <f>Site3!G94</f>
        <v>0</v>
      </c>
      <c r="AT75" s="6">
        <f>Site3!H94</f>
        <v>0</v>
      </c>
      <c r="AU75" s="6">
        <f>Site3!I94</f>
        <v>0</v>
      </c>
      <c r="AV75" s="6">
        <f>Site3!J94</f>
        <v>0</v>
      </c>
      <c r="AW75" s="6">
        <f>Site3!K94</f>
        <v>0</v>
      </c>
      <c r="AX75" s="6">
        <f>Site3!L94</f>
        <v>0</v>
      </c>
      <c r="AY75" s="6">
        <f>Site3!M94</f>
        <v>0</v>
      </c>
      <c r="AZ75" s="6">
        <f>Site3!N94</f>
        <v>0</v>
      </c>
      <c r="BA75" s="6">
        <f>Site3!O94</f>
        <v>0</v>
      </c>
      <c r="BB75" s="6">
        <f>Site3!P94</f>
        <v>0</v>
      </c>
      <c r="BD75" s="6">
        <f>Site4!E94</f>
        <v>0</v>
      </c>
      <c r="BE75" s="6">
        <f>Site4!F94</f>
        <v>0</v>
      </c>
      <c r="BF75" s="6">
        <f>Site4!G94</f>
        <v>0</v>
      </c>
      <c r="BG75" s="6">
        <f>Site4!H94</f>
        <v>0</v>
      </c>
      <c r="BH75" s="6">
        <f>Site4!I94</f>
        <v>0</v>
      </c>
      <c r="BI75" s="6">
        <f>Site4!J94</f>
        <v>0</v>
      </c>
      <c r="BJ75" s="6">
        <f>Site4!K94</f>
        <v>0</v>
      </c>
      <c r="BK75" s="6">
        <f>Site4!L94</f>
        <v>0</v>
      </c>
      <c r="BL75" s="6">
        <f>Site4!M94</f>
        <v>0</v>
      </c>
      <c r="BM75" s="6">
        <f>Site4!N94</f>
        <v>0</v>
      </c>
      <c r="BN75" s="6">
        <f>Site4!O94</f>
        <v>0</v>
      </c>
      <c r="BO75" s="6">
        <f>Site4!P94</f>
        <v>0</v>
      </c>
      <c r="BQ75" s="6">
        <f>Site5!E94</f>
        <v>0</v>
      </c>
      <c r="BR75" s="6">
        <f>Site5!F94</f>
        <v>0</v>
      </c>
      <c r="BS75" s="6">
        <f>Site5!G94</f>
        <v>0</v>
      </c>
      <c r="BT75" s="6">
        <f>Site5!H94</f>
        <v>0</v>
      </c>
      <c r="BU75" s="6">
        <f>Site5!I94</f>
        <v>0</v>
      </c>
      <c r="BV75" s="6">
        <f>Site5!J94</f>
        <v>0</v>
      </c>
      <c r="BW75" s="6">
        <f>Site5!K94</f>
        <v>0</v>
      </c>
      <c r="BX75" s="6">
        <f>Site5!L94</f>
        <v>0</v>
      </c>
      <c r="BY75" s="6">
        <f>Site5!M94</f>
        <v>0</v>
      </c>
      <c r="BZ75" s="6">
        <f>Site5!N94</f>
        <v>0</v>
      </c>
      <c r="CA75" s="6">
        <f>Site5!O94</f>
        <v>0</v>
      </c>
      <c r="CB75" s="6">
        <f>Site5!P94</f>
        <v>0</v>
      </c>
      <c r="CD75" s="6">
        <f>Site6!E94</f>
        <v>0</v>
      </c>
      <c r="CE75" s="6">
        <f>Site6!F94</f>
        <v>0</v>
      </c>
      <c r="CF75" s="6">
        <f>Site6!G94</f>
        <v>0</v>
      </c>
      <c r="CG75" s="6">
        <f>Site6!H94</f>
        <v>0</v>
      </c>
      <c r="CH75" s="6">
        <f>Site6!I94</f>
        <v>0</v>
      </c>
      <c r="CI75" s="6">
        <f>Site6!J94</f>
        <v>0</v>
      </c>
      <c r="CJ75" s="6">
        <f>Site6!K94</f>
        <v>0</v>
      </c>
      <c r="CK75" s="6">
        <f>Site6!L94</f>
        <v>0</v>
      </c>
      <c r="CL75" s="6">
        <f>Site6!M94</f>
        <v>0</v>
      </c>
      <c r="CM75" s="6">
        <f>Site6!N94</f>
        <v>0</v>
      </c>
      <c r="CN75" s="6">
        <f>Site6!O94</f>
        <v>0</v>
      </c>
      <c r="CO75" s="6">
        <f>Site6!P94</f>
        <v>0</v>
      </c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s="2" customFormat="1" hidden="1" outlineLevel="1" x14ac:dyDescent="0.25">
      <c r="A76" s="145">
        <v>6320</v>
      </c>
      <c r="B76" s="18" t="s">
        <v>433</v>
      </c>
      <c r="D76" s="154">
        <f t="shared" si="10"/>
        <v>8000</v>
      </c>
      <c r="E76" s="154">
        <f t="shared" si="11"/>
        <v>8500</v>
      </c>
      <c r="F76" s="154">
        <f t="shared" si="12"/>
        <v>9500</v>
      </c>
      <c r="G76" s="154">
        <f t="shared" si="13"/>
        <v>11000</v>
      </c>
      <c r="H76" s="154">
        <f t="shared" si="14"/>
        <v>11000</v>
      </c>
      <c r="I76" s="154">
        <f t="shared" si="15"/>
        <v>11500</v>
      </c>
      <c r="J76" s="154">
        <f t="shared" si="16"/>
        <v>12000</v>
      </c>
      <c r="K76" s="154">
        <f t="shared" si="17"/>
        <v>12500</v>
      </c>
      <c r="L76" s="154">
        <f t="shared" si="18"/>
        <v>13000</v>
      </c>
      <c r="M76" s="154">
        <f t="shared" si="19"/>
        <v>13000</v>
      </c>
      <c r="N76" s="154">
        <f t="shared" si="20"/>
        <v>14000</v>
      </c>
      <c r="O76" s="154">
        <f t="shared" si="21"/>
        <v>14500</v>
      </c>
      <c r="Q76" s="6">
        <f>Site1!E95</f>
        <v>3000</v>
      </c>
      <c r="R76" s="6">
        <f>Site1!F95</f>
        <v>3000</v>
      </c>
      <c r="S76" s="6">
        <f>Site1!G95</f>
        <v>3000</v>
      </c>
      <c r="T76" s="6">
        <f>Site1!H95</f>
        <v>3000</v>
      </c>
      <c r="U76" s="6">
        <f>Site1!I95</f>
        <v>3000</v>
      </c>
      <c r="V76" s="6">
        <f>Site1!J95</f>
        <v>3500</v>
      </c>
      <c r="W76" s="6">
        <f>Site1!K95</f>
        <v>3500</v>
      </c>
      <c r="X76" s="6">
        <f>Site1!L95</f>
        <v>3500</v>
      </c>
      <c r="Y76" s="6">
        <f>Site1!M95</f>
        <v>3500</v>
      </c>
      <c r="Z76" s="6">
        <f>Site1!N95</f>
        <v>3500</v>
      </c>
      <c r="AA76" s="6">
        <f>Site1!O95</f>
        <v>3500</v>
      </c>
      <c r="AB76" s="6">
        <f>Site1!P95</f>
        <v>3500</v>
      </c>
      <c r="AD76" s="6">
        <f>Site2!E95</f>
        <v>2000</v>
      </c>
      <c r="AE76" s="6">
        <f>Site2!F95</f>
        <v>2000</v>
      </c>
      <c r="AF76" s="6">
        <f>Site2!G95</f>
        <v>2000</v>
      </c>
      <c r="AG76" s="6">
        <f>Site2!H95</f>
        <v>2000</v>
      </c>
      <c r="AH76" s="6">
        <f>Site2!I95</f>
        <v>2000</v>
      </c>
      <c r="AI76" s="6">
        <f>Site2!J95</f>
        <v>2000</v>
      </c>
      <c r="AJ76" s="6">
        <f>Site2!K95</f>
        <v>2000</v>
      </c>
      <c r="AK76" s="6">
        <f>Site2!L95</f>
        <v>2500</v>
      </c>
      <c r="AL76" s="6">
        <f>Site2!M95</f>
        <v>2500</v>
      </c>
      <c r="AM76" s="6">
        <f>Site2!N95</f>
        <v>2500</v>
      </c>
      <c r="AN76" s="6">
        <f>Site2!O95</f>
        <v>2500</v>
      </c>
      <c r="AO76" s="6">
        <f>Site2!P95</f>
        <v>2500</v>
      </c>
      <c r="AQ76" s="6">
        <f>Site3!E95</f>
        <v>1000</v>
      </c>
      <c r="AR76" s="6">
        <f>Site3!F95</f>
        <v>1000</v>
      </c>
      <c r="AS76" s="6">
        <f>Site3!G95</f>
        <v>1000</v>
      </c>
      <c r="AT76" s="6">
        <f>Site3!H95</f>
        <v>1500</v>
      </c>
      <c r="AU76" s="6">
        <f>Site3!I95</f>
        <v>1500</v>
      </c>
      <c r="AV76" s="6">
        <f>Site3!J95</f>
        <v>1500</v>
      </c>
      <c r="AW76" s="6">
        <f>Site3!K95</f>
        <v>1500</v>
      </c>
      <c r="AX76" s="6">
        <f>Site3!L95</f>
        <v>1500</v>
      </c>
      <c r="AY76" s="6">
        <f>Site3!M95</f>
        <v>1500</v>
      </c>
      <c r="AZ76" s="6">
        <f>Site3!N95</f>
        <v>1500</v>
      </c>
      <c r="BA76" s="6">
        <f>Site3!O95</f>
        <v>2000</v>
      </c>
      <c r="BB76" s="6">
        <f>Site3!P95</f>
        <v>2000</v>
      </c>
      <c r="BD76" s="6">
        <f>Site4!E95</f>
        <v>1000</v>
      </c>
      <c r="BE76" s="6">
        <f>Site4!F95</f>
        <v>1500</v>
      </c>
      <c r="BF76" s="6">
        <f>Site4!G95</f>
        <v>1500</v>
      </c>
      <c r="BG76" s="6">
        <f>Site4!H95</f>
        <v>1500</v>
      </c>
      <c r="BH76" s="6">
        <f>Site4!I95</f>
        <v>1500</v>
      </c>
      <c r="BI76" s="6">
        <f>Site4!J95</f>
        <v>1500</v>
      </c>
      <c r="BJ76" s="6">
        <f>Site4!K95</f>
        <v>2000</v>
      </c>
      <c r="BK76" s="6">
        <f>Site4!L95</f>
        <v>2000</v>
      </c>
      <c r="BL76" s="6">
        <f>Site4!M95</f>
        <v>2000</v>
      </c>
      <c r="BM76" s="6">
        <f>Site4!N95</f>
        <v>2000</v>
      </c>
      <c r="BN76" s="6">
        <f>Site4!O95</f>
        <v>2000</v>
      </c>
      <c r="BO76" s="6">
        <f>Site4!P95</f>
        <v>2500</v>
      </c>
      <c r="BQ76" s="6">
        <f>Site5!E95</f>
        <v>1000</v>
      </c>
      <c r="BR76" s="6">
        <f>Site5!F95</f>
        <v>1000</v>
      </c>
      <c r="BS76" s="6">
        <f>Site5!G95</f>
        <v>1000</v>
      </c>
      <c r="BT76" s="6">
        <f>Site5!H95</f>
        <v>1500</v>
      </c>
      <c r="BU76" s="6">
        <f>Site5!I95</f>
        <v>1500</v>
      </c>
      <c r="BV76" s="6">
        <f>Site5!J95</f>
        <v>1500</v>
      </c>
      <c r="BW76" s="6">
        <f>Site5!K95</f>
        <v>1500</v>
      </c>
      <c r="BX76" s="6">
        <f>Site5!L95</f>
        <v>1500</v>
      </c>
      <c r="BY76" s="6">
        <f>Site5!M95</f>
        <v>1500</v>
      </c>
      <c r="BZ76" s="6">
        <f>Site5!N95</f>
        <v>1500</v>
      </c>
      <c r="CA76" s="6">
        <f>Site5!O95</f>
        <v>2000</v>
      </c>
      <c r="CB76" s="6">
        <f>Site5!P95</f>
        <v>2000</v>
      </c>
      <c r="CD76" s="6">
        <f>Site6!E95</f>
        <v>0</v>
      </c>
      <c r="CE76" s="6">
        <f>Site6!F95</f>
        <v>0</v>
      </c>
      <c r="CF76" s="6">
        <f>Site6!G95</f>
        <v>1000</v>
      </c>
      <c r="CG76" s="6">
        <f>Site6!H95</f>
        <v>1500</v>
      </c>
      <c r="CH76" s="6">
        <f>Site6!I95</f>
        <v>1500</v>
      </c>
      <c r="CI76" s="6">
        <f>Site6!J95</f>
        <v>1500</v>
      </c>
      <c r="CJ76" s="6">
        <f>Site6!K95</f>
        <v>1500</v>
      </c>
      <c r="CK76" s="6">
        <f>Site6!L95</f>
        <v>1500</v>
      </c>
      <c r="CL76" s="6">
        <f>Site6!M95</f>
        <v>2000</v>
      </c>
      <c r="CM76" s="6">
        <f>Site6!N95</f>
        <v>2000</v>
      </c>
      <c r="CN76" s="6">
        <f>Site6!O95</f>
        <v>2000</v>
      </c>
      <c r="CO76" s="6">
        <f>Site6!P95</f>
        <v>2000</v>
      </c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7" s="2" customFormat="1" collapsed="1" x14ac:dyDescent="0.25">
      <c r="A77" s="282">
        <v>320</v>
      </c>
      <c r="B77" s="274" t="s">
        <v>434</v>
      </c>
      <c r="D77" s="260">
        <f t="shared" si="10"/>
        <v>8000</v>
      </c>
      <c r="E77" s="260">
        <f t="shared" si="11"/>
        <v>8500</v>
      </c>
      <c r="F77" s="260">
        <f t="shared" si="12"/>
        <v>9500</v>
      </c>
      <c r="G77" s="260">
        <f t="shared" si="13"/>
        <v>11000</v>
      </c>
      <c r="H77" s="260">
        <f t="shared" si="14"/>
        <v>11000</v>
      </c>
      <c r="I77" s="260">
        <f t="shared" si="15"/>
        <v>11500</v>
      </c>
      <c r="J77" s="260">
        <f t="shared" si="16"/>
        <v>12000</v>
      </c>
      <c r="K77" s="260">
        <f t="shared" si="17"/>
        <v>12500</v>
      </c>
      <c r="L77" s="260">
        <f t="shared" si="18"/>
        <v>13000</v>
      </c>
      <c r="M77" s="260">
        <f t="shared" si="19"/>
        <v>13000</v>
      </c>
      <c r="N77" s="260">
        <f t="shared" si="20"/>
        <v>14000</v>
      </c>
      <c r="O77" s="260">
        <f t="shared" si="21"/>
        <v>14500</v>
      </c>
      <c r="Q77" s="261">
        <f>Site1!E96</f>
        <v>3000</v>
      </c>
      <c r="R77" s="261">
        <f>Site1!F96</f>
        <v>3000</v>
      </c>
      <c r="S77" s="261">
        <f>Site1!G96</f>
        <v>3000</v>
      </c>
      <c r="T77" s="261">
        <f>Site1!H96</f>
        <v>3000</v>
      </c>
      <c r="U77" s="261">
        <f>Site1!I96</f>
        <v>3000</v>
      </c>
      <c r="V77" s="261">
        <f>Site1!J96</f>
        <v>3500</v>
      </c>
      <c r="W77" s="261">
        <f>Site1!K96</f>
        <v>3500</v>
      </c>
      <c r="X77" s="261">
        <f>Site1!L96</f>
        <v>3500</v>
      </c>
      <c r="Y77" s="261">
        <f>Site1!M96</f>
        <v>3500</v>
      </c>
      <c r="Z77" s="261">
        <f>Site1!N96</f>
        <v>3500</v>
      </c>
      <c r="AA77" s="261">
        <f>Site1!O96</f>
        <v>3500</v>
      </c>
      <c r="AB77" s="261">
        <f>Site1!P96</f>
        <v>3500</v>
      </c>
      <c r="AC77" s="16"/>
      <c r="AD77" s="261">
        <f>Site2!E96</f>
        <v>2000</v>
      </c>
      <c r="AE77" s="261">
        <f>Site2!F96</f>
        <v>2000</v>
      </c>
      <c r="AF77" s="261">
        <f>Site2!G96</f>
        <v>2000</v>
      </c>
      <c r="AG77" s="261">
        <f>Site2!H96</f>
        <v>2000</v>
      </c>
      <c r="AH77" s="261">
        <f>Site2!I96</f>
        <v>2000</v>
      </c>
      <c r="AI77" s="261">
        <f>Site2!J96</f>
        <v>2000</v>
      </c>
      <c r="AJ77" s="261">
        <f>Site2!K96</f>
        <v>2000</v>
      </c>
      <c r="AK77" s="261">
        <f>Site2!L96</f>
        <v>2500</v>
      </c>
      <c r="AL77" s="261">
        <f>Site2!M96</f>
        <v>2500</v>
      </c>
      <c r="AM77" s="261">
        <f>Site2!N96</f>
        <v>2500</v>
      </c>
      <c r="AN77" s="261">
        <f>Site2!O96</f>
        <v>2500</v>
      </c>
      <c r="AO77" s="261">
        <f>Site2!P96</f>
        <v>2500</v>
      </c>
      <c r="AP77" s="16"/>
      <c r="AQ77" s="261">
        <f>Site3!E96</f>
        <v>1000</v>
      </c>
      <c r="AR77" s="261">
        <f>Site3!F96</f>
        <v>1000</v>
      </c>
      <c r="AS77" s="261">
        <f>Site3!G96</f>
        <v>1000</v>
      </c>
      <c r="AT77" s="261">
        <f>Site3!H96</f>
        <v>1500</v>
      </c>
      <c r="AU77" s="261">
        <f>Site3!I96</f>
        <v>1500</v>
      </c>
      <c r="AV77" s="261">
        <f>Site3!J96</f>
        <v>1500</v>
      </c>
      <c r="AW77" s="261">
        <f>Site3!K96</f>
        <v>1500</v>
      </c>
      <c r="AX77" s="261">
        <f>Site3!L96</f>
        <v>1500</v>
      </c>
      <c r="AY77" s="261">
        <f>Site3!M96</f>
        <v>1500</v>
      </c>
      <c r="AZ77" s="261">
        <f>Site3!N96</f>
        <v>1500</v>
      </c>
      <c r="BA77" s="261">
        <f>Site3!O96</f>
        <v>2000</v>
      </c>
      <c r="BB77" s="261">
        <f>Site3!P96</f>
        <v>2000</v>
      </c>
      <c r="BC77" s="16"/>
      <c r="BD77" s="261">
        <f>Site4!E96</f>
        <v>1000</v>
      </c>
      <c r="BE77" s="261">
        <f>Site4!F96</f>
        <v>1500</v>
      </c>
      <c r="BF77" s="261">
        <f>Site4!G96</f>
        <v>1500</v>
      </c>
      <c r="BG77" s="261">
        <f>Site4!H96</f>
        <v>1500</v>
      </c>
      <c r="BH77" s="261">
        <f>Site4!I96</f>
        <v>1500</v>
      </c>
      <c r="BI77" s="261">
        <f>Site4!J96</f>
        <v>1500</v>
      </c>
      <c r="BJ77" s="261">
        <f>Site4!K96</f>
        <v>2000</v>
      </c>
      <c r="BK77" s="261">
        <f>Site4!L96</f>
        <v>2000</v>
      </c>
      <c r="BL77" s="261">
        <f>Site4!M96</f>
        <v>2000</v>
      </c>
      <c r="BM77" s="261">
        <f>Site4!N96</f>
        <v>2000</v>
      </c>
      <c r="BN77" s="261">
        <f>Site4!O96</f>
        <v>2000</v>
      </c>
      <c r="BO77" s="261">
        <f>Site4!P96</f>
        <v>2500</v>
      </c>
      <c r="BP77" s="16"/>
      <c r="BQ77" s="261">
        <f>Site5!E96</f>
        <v>1000</v>
      </c>
      <c r="BR77" s="261">
        <f>Site5!F96</f>
        <v>1000</v>
      </c>
      <c r="BS77" s="261">
        <f>Site5!G96</f>
        <v>1000</v>
      </c>
      <c r="BT77" s="261">
        <f>Site5!H96</f>
        <v>1500</v>
      </c>
      <c r="BU77" s="261">
        <f>Site5!I96</f>
        <v>1500</v>
      </c>
      <c r="BV77" s="261">
        <f>Site5!J96</f>
        <v>1500</v>
      </c>
      <c r="BW77" s="261">
        <f>Site5!K96</f>
        <v>1500</v>
      </c>
      <c r="BX77" s="261">
        <f>Site5!L96</f>
        <v>1500</v>
      </c>
      <c r="BY77" s="261">
        <f>Site5!M96</f>
        <v>1500</v>
      </c>
      <c r="BZ77" s="261">
        <f>Site5!N96</f>
        <v>1500</v>
      </c>
      <c r="CA77" s="261">
        <f>Site5!O96</f>
        <v>2000</v>
      </c>
      <c r="CB77" s="261">
        <f>Site5!P96</f>
        <v>2000</v>
      </c>
      <c r="CC77" s="16"/>
      <c r="CD77" s="261">
        <f>Site6!E96</f>
        <v>0</v>
      </c>
      <c r="CE77" s="261">
        <f>Site6!F96</f>
        <v>0</v>
      </c>
      <c r="CF77" s="261">
        <f>Site6!G96</f>
        <v>1000</v>
      </c>
      <c r="CG77" s="261">
        <f>Site6!H96</f>
        <v>1500</v>
      </c>
      <c r="CH77" s="261">
        <f>Site6!I96</f>
        <v>1500</v>
      </c>
      <c r="CI77" s="261">
        <f>Site6!J96</f>
        <v>1500</v>
      </c>
      <c r="CJ77" s="261">
        <f>Site6!K96</f>
        <v>1500</v>
      </c>
      <c r="CK77" s="261">
        <f>Site6!L96</f>
        <v>1500</v>
      </c>
      <c r="CL77" s="261">
        <f>Site6!M96</f>
        <v>2000</v>
      </c>
      <c r="CM77" s="261">
        <f>Site6!N96</f>
        <v>2000</v>
      </c>
      <c r="CN77" s="261">
        <f>Site6!O96</f>
        <v>2000</v>
      </c>
      <c r="CO77" s="261">
        <f>Site6!P96</f>
        <v>2000</v>
      </c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s="2" customFormat="1" hidden="1" outlineLevel="1" x14ac:dyDescent="0.25">
      <c r="A78" s="145">
        <v>6331</v>
      </c>
      <c r="B78" s="18" t="s">
        <v>436</v>
      </c>
      <c r="D78" s="154">
        <f t="shared" si="10"/>
        <v>1500</v>
      </c>
      <c r="E78" s="154">
        <f t="shared" si="11"/>
        <v>1500</v>
      </c>
      <c r="F78" s="154">
        <f t="shared" si="12"/>
        <v>1875</v>
      </c>
      <c r="G78" s="154">
        <f t="shared" si="13"/>
        <v>1875</v>
      </c>
      <c r="H78" s="154">
        <f t="shared" si="14"/>
        <v>1875</v>
      </c>
      <c r="I78" s="154">
        <f t="shared" si="15"/>
        <v>1875</v>
      </c>
      <c r="J78" s="154">
        <f t="shared" si="16"/>
        <v>1875</v>
      </c>
      <c r="K78" s="154">
        <f t="shared" si="17"/>
        <v>2125</v>
      </c>
      <c r="L78" s="154">
        <f t="shared" si="18"/>
        <v>2500</v>
      </c>
      <c r="M78" s="154">
        <f t="shared" si="19"/>
        <v>2875</v>
      </c>
      <c r="N78" s="154">
        <f t="shared" si="20"/>
        <v>2875</v>
      </c>
      <c r="O78" s="154">
        <f t="shared" si="21"/>
        <v>2875</v>
      </c>
      <c r="Q78" s="6">
        <f>Site1!E97</f>
        <v>750</v>
      </c>
      <c r="R78" s="6">
        <f>Site1!F97</f>
        <v>750</v>
      </c>
      <c r="S78" s="6">
        <f>Site1!G97</f>
        <v>750</v>
      </c>
      <c r="T78" s="6">
        <f>Site1!H97</f>
        <v>750</v>
      </c>
      <c r="U78" s="6">
        <f>Site1!I97</f>
        <v>750</v>
      </c>
      <c r="V78" s="6">
        <f>Site1!J97</f>
        <v>750</v>
      </c>
      <c r="W78" s="6">
        <f>Site1!K97</f>
        <v>750</v>
      </c>
      <c r="X78" s="6">
        <f>Site1!L97</f>
        <v>750</v>
      </c>
      <c r="Y78" s="6">
        <f>Site1!M97</f>
        <v>750</v>
      </c>
      <c r="Z78" s="6">
        <f>Site1!N97</f>
        <v>750</v>
      </c>
      <c r="AA78" s="6">
        <f>Site1!O97</f>
        <v>750</v>
      </c>
      <c r="AB78" s="6">
        <f>Site1!P97</f>
        <v>750</v>
      </c>
      <c r="AD78" s="6">
        <f>Site2!E97</f>
        <v>750</v>
      </c>
      <c r="AE78" s="6">
        <f>Site2!F97</f>
        <v>750</v>
      </c>
      <c r="AF78" s="6">
        <f>Site2!G97</f>
        <v>750</v>
      </c>
      <c r="AG78" s="6">
        <f>Site2!H97</f>
        <v>750</v>
      </c>
      <c r="AH78" s="6">
        <f>Site2!I97</f>
        <v>750</v>
      </c>
      <c r="AI78" s="6">
        <f>Site2!J97</f>
        <v>750</v>
      </c>
      <c r="AJ78" s="6">
        <f>Site2!K97</f>
        <v>750</v>
      </c>
      <c r="AK78" s="6">
        <f>Site2!L97</f>
        <v>750</v>
      </c>
      <c r="AL78" s="6">
        <f>Site2!M97</f>
        <v>750</v>
      </c>
      <c r="AM78" s="6">
        <f>Site2!N97</f>
        <v>750</v>
      </c>
      <c r="AN78" s="6">
        <f>Site2!O97</f>
        <v>750</v>
      </c>
      <c r="AO78" s="6">
        <f>Site2!P97</f>
        <v>750</v>
      </c>
      <c r="AQ78" s="6">
        <f>Site3!E97</f>
        <v>0</v>
      </c>
      <c r="AR78" s="6">
        <f>Site3!F97</f>
        <v>0</v>
      </c>
      <c r="AS78" s="6">
        <f>Site3!G97</f>
        <v>0</v>
      </c>
      <c r="AT78" s="6">
        <f>Site3!H97</f>
        <v>0</v>
      </c>
      <c r="AU78" s="6">
        <f>Site3!I97</f>
        <v>0</v>
      </c>
      <c r="AV78" s="6">
        <f>Site3!J97</f>
        <v>0</v>
      </c>
      <c r="AW78" s="6">
        <f>Site3!K97</f>
        <v>0</v>
      </c>
      <c r="AX78" s="6">
        <f>Site3!L97</f>
        <v>0</v>
      </c>
      <c r="AY78" s="6">
        <f>Site3!M97</f>
        <v>375</v>
      </c>
      <c r="AZ78" s="6">
        <f>Site3!N97</f>
        <v>375</v>
      </c>
      <c r="BA78" s="6">
        <f>Site3!O97</f>
        <v>375</v>
      </c>
      <c r="BB78" s="6">
        <f>Site3!P97</f>
        <v>375</v>
      </c>
      <c r="BD78" s="6">
        <f>Site4!E97</f>
        <v>0</v>
      </c>
      <c r="BE78" s="6">
        <f>Site4!F97</f>
        <v>0</v>
      </c>
      <c r="BF78" s="6">
        <f>Site4!G97</f>
        <v>0</v>
      </c>
      <c r="BG78" s="6">
        <f>Site4!H97</f>
        <v>0</v>
      </c>
      <c r="BH78" s="6">
        <f>Site4!I97</f>
        <v>0</v>
      </c>
      <c r="BI78" s="6">
        <f>Site4!J97</f>
        <v>0</v>
      </c>
      <c r="BJ78" s="6">
        <f>Site4!K97</f>
        <v>0</v>
      </c>
      <c r="BK78" s="6">
        <f>Site4!L97</f>
        <v>250</v>
      </c>
      <c r="BL78" s="6">
        <f>Site4!M97</f>
        <v>250</v>
      </c>
      <c r="BM78" s="6">
        <f>Site4!N97</f>
        <v>250</v>
      </c>
      <c r="BN78" s="6">
        <f>Site4!O97</f>
        <v>250</v>
      </c>
      <c r="BO78" s="6">
        <f>Site4!P97</f>
        <v>250</v>
      </c>
      <c r="BQ78" s="6">
        <f>Site5!E97</f>
        <v>0</v>
      </c>
      <c r="BR78" s="6">
        <f>Site5!F97</f>
        <v>0</v>
      </c>
      <c r="BS78" s="6">
        <f>Site5!G97</f>
        <v>375</v>
      </c>
      <c r="BT78" s="6">
        <f>Site5!H97</f>
        <v>375</v>
      </c>
      <c r="BU78" s="6">
        <f>Site5!I97</f>
        <v>375</v>
      </c>
      <c r="BV78" s="6">
        <f>Site5!J97</f>
        <v>375</v>
      </c>
      <c r="BW78" s="6">
        <f>Site5!K97</f>
        <v>375</v>
      </c>
      <c r="BX78" s="6">
        <f>Site5!L97</f>
        <v>375</v>
      </c>
      <c r="BY78" s="6">
        <f>Site5!M97</f>
        <v>375</v>
      </c>
      <c r="BZ78" s="6">
        <f>Site5!N97</f>
        <v>750</v>
      </c>
      <c r="CA78" s="6">
        <f>Site5!O97</f>
        <v>750</v>
      </c>
      <c r="CB78" s="6">
        <f>Site5!P97</f>
        <v>750</v>
      </c>
      <c r="CD78" s="6">
        <f>Site6!E97</f>
        <v>0</v>
      </c>
      <c r="CE78" s="6">
        <f>Site6!F97</f>
        <v>0</v>
      </c>
      <c r="CF78" s="6">
        <f>Site6!G97</f>
        <v>0</v>
      </c>
      <c r="CG78" s="6">
        <f>Site6!H97</f>
        <v>0</v>
      </c>
      <c r="CH78" s="6">
        <f>Site6!I97</f>
        <v>0</v>
      </c>
      <c r="CI78" s="6">
        <f>Site6!J97</f>
        <v>0</v>
      </c>
      <c r="CJ78" s="6">
        <f>Site6!K97</f>
        <v>0</v>
      </c>
      <c r="CK78" s="6">
        <f>Site6!L97</f>
        <v>0</v>
      </c>
      <c r="CL78" s="6">
        <f>Site6!M97</f>
        <v>0</v>
      </c>
      <c r="CM78" s="6">
        <f>Site6!N97</f>
        <v>0</v>
      </c>
      <c r="CN78" s="6">
        <f>Site6!O97</f>
        <v>0</v>
      </c>
      <c r="CO78" s="6">
        <f>Site6!P97</f>
        <v>0</v>
      </c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s="2" customFormat="1" hidden="1" outlineLevel="1" x14ac:dyDescent="0.25">
      <c r="A79" s="145">
        <v>6333</v>
      </c>
      <c r="B79" s="18" t="s">
        <v>437</v>
      </c>
      <c r="D79" s="154">
        <f t="shared" si="10"/>
        <v>27500</v>
      </c>
      <c r="E79" s="154">
        <f t="shared" si="11"/>
        <v>7500</v>
      </c>
      <c r="F79" s="154">
        <f t="shared" si="12"/>
        <v>9500</v>
      </c>
      <c r="G79" s="154">
        <f t="shared" si="13"/>
        <v>9500</v>
      </c>
      <c r="H79" s="154">
        <f t="shared" si="14"/>
        <v>9500</v>
      </c>
      <c r="I79" s="154">
        <f t="shared" si="15"/>
        <v>9500</v>
      </c>
      <c r="J79" s="154">
        <f t="shared" si="16"/>
        <v>9500</v>
      </c>
      <c r="K79" s="154">
        <f t="shared" si="17"/>
        <v>9500</v>
      </c>
      <c r="L79" s="154">
        <f t="shared" si="18"/>
        <v>9500</v>
      </c>
      <c r="M79" s="154">
        <f t="shared" si="19"/>
        <v>9500</v>
      </c>
      <c r="N79" s="154">
        <f t="shared" si="20"/>
        <v>9500</v>
      </c>
      <c r="O79" s="154">
        <f t="shared" si="21"/>
        <v>9500</v>
      </c>
      <c r="Q79" s="6">
        <f>Site1!E98</f>
        <v>1500</v>
      </c>
      <c r="R79" s="6">
        <f>Site1!F98</f>
        <v>1500</v>
      </c>
      <c r="S79" s="6">
        <f>Site1!G98</f>
        <v>1500</v>
      </c>
      <c r="T79" s="6">
        <f>Site1!H98</f>
        <v>1500</v>
      </c>
      <c r="U79" s="6">
        <f>Site1!I98</f>
        <v>1500</v>
      </c>
      <c r="V79" s="6">
        <f>Site1!J98</f>
        <v>1500</v>
      </c>
      <c r="W79" s="6">
        <f>Site1!K98</f>
        <v>1500</v>
      </c>
      <c r="X79" s="6">
        <f>Site1!L98</f>
        <v>1500</v>
      </c>
      <c r="Y79" s="6">
        <f>Site1!M98</f>
        <v>1500</v>
      </c>
      <c r="Z79" s="6">
        <f>Site1!N98</f>
        <v>1500</v>
      </c>
      <c r="AA79" s="6">
        <f>Site1!O98</f>
        <v>1500</v>
      </c>
      <c r="AB79" s="6">
        <f>Site1!P98</f>
        <v>1500</v>
      </c>
      <c r="AD79" s="6">
        <f>Site2!E98</f>
        <v>1500</v>
      </c>
      <c r="AE79" s="6">
        <f>Site2!F98</f>
        <v>1500</v>
      </c>
      <c r="AF79" s="6">
        <f>Site2!G98</f>
        <v>1500</v>
      </c>
      <c r="AG79" s="6">
        <f>Site2!H98</f>
        <v>1500</v>
      </c>
      <c r="AH79" s="6">
        <f>Site2!I98</f>
        <v>1500</v>
      </c>
      <c r="AI79" s="6">
        <f>Site2!J98</f>
        <v>1500</v>
      </c>
      <c r="AJ79" s="6">
        <f>Site2!K98</f>
        <v>1500</v>
      </c>
      <c r="AK79" s="6">
        <f>Site2!L98</f>
        <v>1500</v>
      </c>
      <c r="AL79" s="6">
        <f>Site2!M98</f>
        <v>1500</v>
      </c>
      <c r="AM79" s="6">
        <f>Site2!N98</f>
        <v>1500</v>
      </c>
      <c r="AN79" s="6">
        <f>Site2!O98</f>
        <v>1500</v>
      </c>
      <c r="AO79" s="6">
        <f>Site2!P98</f>
        <v>1500</v>
      </c>
      <c r="AQ79" s="6">
        <f>Site3!E98</f>
        <v>1000</v>
      </c>
      <c r="AR79" s="6">
        <f>Site3!F98</f>
        <v>1000</v>
      </c>
      <c r="AS79" s="6">
        <f>Site3!G98</f>
        <v>1000</v>
      </c>
      <c r="AT79" s="6">
        <f>Site3!H98</f>
        <v>1000</v>
      </c>
      <c r="AU79" s="6">
        <f>Site3!I98</f>
        <v>1000</v>
      </c>
      <c r="AV79" s="6">
        <f>Site3!J98</f>
        <v>1000</v>
      </c>
      <c r="AW79" s="6">
        <f>Site3!K98</f>
        <v>1000</v>
      </c>
      <c r="AX79" s="6">
        <f>Site3!L98</f>
        <v>1000</v>
      </c>
      <c r="AY79" s="6">
        <f>Site3!M98</f>
        <v>1000</v>
      </c>
      <c r="AZ79" s="6">
        <f>Site3!N98</f>
        <v>1000</v>
      </c>
      <c r="BA79" s="6">
        <f>Site3!O98</f>
        <v>1000</v>
      </c>
      <c r="BB79" s="6">
        <f>Site3!P98</f>
        <v>1000</v>
      </c>
      <c r="BD79" s="6">
        <f>Site4!E98</f>
        <v>2000</v>
      </c>
      <c r="BE79" s="6">
        <f>Site4!F98</f>
        <v>2000</v>
      </c>
      <c r="BF79" s="6">
        <f>Site4!G98</f>
        <v>2000</v>
      </c>
      <c r="BG79" s="6">
        <f>Site4!H98</f>
        <v>2000</v>
      </c>
      <c r="BH79" s="6">
        <f>Site4!I98</f>
        <v>2000</v>
      </c>
      <c r="BI79" s="6">
        <f>Site4!J98</f>
        <v>2000</v>
      </c>
      <c r="BJ79" s="6">
        <f>Site4!K98</f>
        <v>2000</v>
      </c>
      <c r="BK79" s="6">
        <f>Site4!L98</f>
        <v>2000</v>
      </c>
      <c r="BL79" s="6">
        <f>Site4!M98</f>
        <v>2000</v>
      </c>
      <c r="BM79" s="6">
        <f>Site4!N98</f>
        <v>2000</v>
      </c>
      <c r="BN79" s="6">
        <f>Site4!O98</f>
        <v>2000</v>
      </c>
      <c r="BO79" s="6">
        <f>Site4!P98</f>
        <v>2000</v>
      </c>
      <c r="BQ79" s="6">
        <f>Site5!E98</f>
        <v>21500</v>
      </c>
      <c r="BR79" s="6">
        <f>Site5!F98</f>
        <v>1500</v>
      </c>
      <c r="BS79" s="6">
        <f>Site5!G98</f>
        <v>1500</v>
      </c>
      <c r="BT79" s="6">
        <f>Site5!H98</f>
        <v>1500</v>
      </c>
      <c r="BU79" s="6">
        <f>Site5!I98</f>
        <v>1500</v>
      </c>
      <c r="BV79" s="6">
        <f>Site5!J98</f>
        <v>1500</v>
      </c>
      <c r="BW79" s="6">
        <f>Site5!K98</f>
        <v>1500</v>
      </c>
      <c r="BX79" s="6">
        <f>Site5!L98</f>
        <v>1500</v>
      </c>
      <c r="BY79" s="6">
        <f>Site5!M98</f>
        <v>1500</v>
      </c>
      <c r="BZ79" s="6">
        <f>Site5!N98</f>
        <v>1500</v>
      </c>
      <c r="CA79" s="6">
        <f>Site5!O98</f>
        <v>1500</v>
      </c>
      <c r="CB79" s="6">
        <f>Site5!P98</f>
        <v>1500</v>
      </c>
      <c r="CD79" s="6">
        <f>Site6!E98</f>
        <v>0</v>
      </c>
      <c r="CE79" s="6">
        <f>Site6!F98</f>
        <v>0</v>
      </c>
      <c r="CF79" s="6">
        <f>Site6!G98</f>
        <v>2000</v>
      </c>
      <c r="CG79" s="6">
        <f>Site6!H98</f>
        <v>2000</v>
      </c>
      <c r="CH79" s="6">
        <f>Site6!I98</f>
        <v>2000</v>
      </c>
      <c r="CI79" s="6">
        <f>Site6!J98</f>
        <v>2000</v>
      </c>
      <c r="CJ79" s="6">
        <f>Site6!K98</f>
        <v>2000</v>
      </c>
      <c r="CK79" s="6">
        <f>Site6!L98</f>
        <v>2000</v>
      </c>
      <c r="CL79" s="6">
        <f>Site6!M98</f>
        <v>2000</v>
      </c>
      <c r="CM79" s="6">
        <f>Site6!N98</f>
        <v>2000</v>
      </c>
      <c r="CN79" s="6">
        <f>Site6!O98</f>
        <v>2000</v>
      </c>
      <c r="CO79" s="6">
        <f>Site6!P98</f>
        <v>2000</v>
      </c>
      <c r="CR79"/>
      <c r="CS79"/>
      <c r="CT79"/>
      <c r="CU79"/>
      <c r="CV79"/>
      <c r="CW79"/>
      <c r="CX79"/>
      <c r="CY79"/>
      <c r="CZ79"/>
      <c r="DA79"/>
      <c r="DB79"/>
      <c r="DC79"/>
    </row>
    <row r="80" spans="1:107" s="2" customFormat="1" hidden="1" outlineLevel="1" x14ac:dyDescent="0.25">
      <c r="A80" s="145">
        <v>6336</v>
      </c>
      <c r="B80" s="18" t="s">
        <v>438</v>
      </c>
      <c r="D80" s="154">
        <f t="shared" si="10"/>
        <v>1500</v>
      </c>
      <c r="E80" s="154">
        <f t="shared" si="11"/>
        <v>2200</v>
      </c>
      <c r="F80" s="154">
        <f t="shared" si="12"/>
        <v>2200</v>
      </c>
      <c r="G80" s="154">
        <f t="shared" si="13"/>
        <v>2400</v>
      </c>
      <c r="H80" s="154">
        <f t="shared" si="14"/>
        <v>2400</v>
      </c>
      <c r="I80" s="154">
        <f t="shared" si="15"/>
        <v>2400</v>
      </c>
      <c r="J80" s="154">
        <f t="shared" si="16"/>
        <v>2400</v>
      </c>
      <c r="K80" s="154">
        <f t="shared" si="17"/>
        <v>2400</v>
      </c>
      <c r="L80" s="154">
        <f t="shared" si="18"/>
        <v>2400</v>
      </c>
      <c r="M80" s="154">
        <f t="shared" si="19"/>
        <v>2400</v>
      </c>
      <c r="N80" s="154">
        <f t="shared" si="20"/>
        <v>2400</v>
      </c>
      <c r="O80" s="154">
        <f t="shared" si="21"/>
        <v>2400</v>
      </c>
      <c r="Q80" s="6">
        <f>Site1!E99</f>
        <v>500</v>
      </c>
      <c r="R80" s="6">
        <f>Site1!F99</f>
        <v>500</v>
      </c>
      <c r="S80" s="6">
        <f>Site1!G99</f>
        <v>500</v>
      </c>
      <c r="T80" s="6">
        <f>Site1!H99</f>
        <v>500</v>
      </c>
      <c r="U80" s="6">
        <f>Site1!I99</f>
        <v>500</v>
      </c>
      <c r="V80" s="6">
        <f>Site1!J99</f>
        <v>500</v>
      </c>
      <c r="W80" s="6">
        <f>Site1!K99</f>
        <v>500</v>
      </c>
      <c r="X80" s="6">
        <f>Site1!L99</f>
        <v>500</v>
      </c>
      <c r="Y80" s="6">
        <f>Site1!M99</f>
        <v>500</v>
      </c>
      <c r="Z80" s="6">
        <f>Site1!N99</f>
        <v>500</v>
      </c>
      <c r="AA80" s="6">
        <f>Site1!O99</f>
        <v>500</v>
      </c>
      <c r="AB80" s="6">
        <f>Site1!P99</f>
        <v>500</v>
      </c>
      <c r="AD80" s="6">
        <f>Site2!E99</f>
        <v>500</v>
      </c>
      <c r="AE80" s="6">
        <f>Site2!F99</f>
        <v>500</v>
      </c>
      <c r="AF80" s="6">
        <f>Site2!G99</f>
        <v>500</v>
      </c>
      <c r="AG80" s="6">
        <f>Site2!H99</f>
        <v>500</v>
      </c>
      <c r="AH80" s="6">
        <f>Site2!I99</f>
        <v>500</v>
      </c>
      <c r="AI80" s="6">
        <f>Site2!J99</f>
        <v>500</v>
      </c>
      <c r="AJ80" s="6">
        <f>Site2!K99</f>
        <v>500</v>
      </c>
      <c r="AK80" s="6">
        <f>Site2!L99</f>
        <v>500</v>
      </c>
      <c r="AL80" s="6">
        <f>Site2!M99</f>
        <v>500</v>
      </c>
      <c r="AM80" s="6">
        <f>Site2!N99</f>
        <v>500</v>
      </c>
      <c r="AN80" s="6">
        <f>Site2!O99</f>
        <v>500</v>
      </c>
      <c r="AO80" s="6">
        <f>Site2!P99</f>
        <v>500</v>
      </c>
      <c r="AQ80" s="6">
        <f>Site3!E99</f>
        <v>0</v>
      </c>
      <c r="AR80" s="6">
        <f>Site3!F99</f>
        <v>500</v>
      </c>
      <c r="AS80" s="6">
        <f>Site3!G99</f>
        <v>500</v>
      </c>
      <c r="AT80" s="6">
        <f>Site3!H99</f>
        <v>500</v>
      </c>
      <c r="AU80" s="6">
        <f>Site3!I99</f>
        <v>500</v>
      </c>
      <c r="AV80" s="6">
        <f>Site3!J99</f>
        <v>500</v>
      </c>
      <c r="AW80" s="6">
        <f>Site3!K99</f>
        <v>500</v>
      </c>
      <c r="AX80" s="6">
        <f>Site3!L99</f>
        <v>500</v>
      </c>
      <c r="AY80" s="6">
        <f>Site3!M99</f>
        <v>500</v>
      </c>
      <c r="AZ80" s="6">
        <f>Site3!N99</f>
        <v>500</v>
      </c>
      <c r="BA80" s="6">
        <f>Site3!O99</f>
        <v>500</v>
      </c>
      <c r="BB80" s="6">
        <f>Site3!P99</f>
        <v>500</v>
      </c>
      <c r="BD80" s="6">
        <f>Site4!E99</f>
        <v>0</v>
      </c>
      <c r="BE80" s="6">
        <f>Site4!F99</f>
        <v>200</v>
      </c>
      <c r="BF80" s="6">
        <f>Site4!G99</f>
        <v>200</v>
      </c>
      <c r="BG80" s="6">
        <f>Site4!H99</f>
        <v>200</v>
      </c>
      <c r="BH80" s="6">
        <f>Site4!I99</f>
        <v>200</v>
      </c>
      <c r="BI80" s="6">
        <f>Site4!J99</f>
        <v>200</v>
      </c>
      <c r="BJ80" s="6">
        <f>Site4!K99</f>
        <v>200</v>
      </c>
      <c r="BK80" s="6">
        <f>Site4!L99</f>
        <v>200</v>
      </c>
      <c r="BL80" s="6">
        <f>Site4!M99</f>
        <v>200</v>
      </c>
      <c r="BM80" s="6">
        <f>Site4!N99</f>
        <v>200</v>
      </c>
      <c r="BN80" s="6">
        <f>Site4!O99</f>
        <v>200</v>
      </c>
      <c r="BO80" s="6">
        <f>Site4!P99</f>
        <v>200</v>
      </c>
      <c r="BQ80" s="6">
        <f>Site5!E99</f>
        <v>500</v>
      </c>
      <c r="BR80" s="6">
        <f>Site5!F99</f>
        <v>500</v>
      </c>
      <c r="BS80" s="6">
        <f>Site5!G99</f>
        <v>500</v>
      </c>
      <c r="BT80" s="6">
        <f>Site5!H99</f>
        <v>500</v>
      </c>
      <c r="BU80" s="6">
        <f>Site5!I99</f>
        <v>500</v>
      </c>
      <c r="BV80" s="6">
        <f>Site5!J99</f>
        <v>500</v>
      </c>
      <c r="BW80" s="6">
        <f>Site5!K99</f>
        <v>500</v>
      </c>
      <c r="BX80" s="6">
        <f>Site5!L99</f>
        <v>500</v>
      </c>
      <c r="BY80" s="6">
        <f>Site5!M99</f>
        <v>500</v>
      </c>
      <c r="BZ80" s="6">
        <f>Site5!N99</f>
        <v>500</v>
      </c>
      <c r="CA80" s="6">
        <f>Site5!O99</f>
        <v>500</v>
      </c>
      <c r="CB80" s="6">
        <f>Site5!P99</f>
        <v>500</v>
      </c>
      <c r="CD80" s="6">
        <f>Site6!E99</f>
        <v>0</v>
      </c>
      <c r="CE80" s="6">
        <f>Site6!F99</f>
        <v>0</v>
      </c>
      <c r="CF80" s="6">
        <f>Site6!G99</f>
        <v>0</v>
      </c>
      <c r="CG80" s="6">
        <f>Site6!H99</f>
        <v>200</v>
      </c>
      <c r="CH80" s="6">
        <f>Site6!I99</f>
        <v>200</v>
      </c>
      <c r="CI80" s="6">
        <f>Site6!J99</f>
        <v>200</v>
      </c>
      <c r="CJ80" s="6">
        <f>Site6!K99</f>
        <v>200</v>
      </c>
      <c r="CK80" s="6">
        <f>Site6!L99</f>
        <v>200</v>
      </c>
      <c r="CL80" s="6">
        <f>Site6!M99</f>
        <v>200</v>
      </c>
      <c r="CM80" s="6">
        <f>Site6!N99</f>
        <v>200</v>
      </c>
      <c r="CN80" s="6">
        <f>Site6!O99</f>
        <v>200</v>
      </c>
      <c r="CO80" s="6">
        <f>Site6!P99</f>
        <v>200</v>
      </c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s="2" customFormat="1" hidden="1" outlineLevel="1" x14ac:dyDescent="0.25">
      <c r="A81" s="145">
        <v>6337</v>
      </c>
      <c r="B81" s="18" t="s">
        <v>439</v>
      </c>
      <c r="D81" s="154">
        <f t="shared" si="10"/>
        <v>1175</v>
      </c>
      <c r="E81" s="154">
        <f t="shared" si="11"/>
        <v>1675</v>
      </c>
      <c r="F81" s="154">
        <f t="shared" si="12"/>
        <v>1925</v>
      </c>
      <c r="G81" s="154">
        <f t="shared" si="13"/>
        <v>2175</v>
      </c>
      <c r="H81" s="154">
        <f t="shared" si="14"/>
        <v>2175</v>
      </c>
      <c r="I81" s="154">
        <f t="shared" si="15"/>
        <v>2175</v>
      </c>
      <c r="J81" s="154">
        <f t="shared" si="16"/>
        <v>2175</v>
      </c>
      <c r="K81" s="154">
        <f t="shared" si="17"/>
        <v>2175</v>
      </c>
      <c r="L81" s="154">
        <f t="shared" si="18"/>
        <v>2175</v>
      </c>
      <c r="M81" s="154">
        <f t="shared" si="19"/>
        <v>2175</v>
      </c>
      <c r="N81" s="154">
        <f t="shared" si="20"/>
        <v>2175</v>
      </c>
      <c r="O81" s="154">
        <f t="shared" si="21"/>
        <v>2175</v>
      </c>
      <c r="Q81" s="6">
        <f>Site1!E100</f>
        <v>500</v>
      </c>
      <c r="R81" s="6">
        <f>Site1!F100</f>
        <v>500</v>
      </c>
      <c r="S81" s="6">
        <f>Site1!G100</f>
        <v>500</v>
      </c>
      <c r="T81" s="6">
        <f>Site1!H100</f>
        <v>500</v>
      </c>
      <c r="U81" s="6">
        <f>Site1!I100</f>
        <v>500</v>
      </c>
      <c r="V81" s="6">
        <f>Site1!J100</f>
        <v>500</v>
      </c>
      <c r="W81" s="6">
        <f>Site1!K100</f>
        <v>500</v>
      </c>
      <c r="X81" s="6">
        <f>Site1!L100</f>
        <v>500</v>
      </c>
      <c r="Y81" s="6">
        <f>Site1!M100</f>
        <v>500</v>
      </c>
      <c r="Z81" s="6">
        <f>Site1!N100</f>
        <v>500</v>
      </c>
      <c r="AA81" s="6">
        <f>Site1!O100</f>
        <v>500</v>
      </c>
      <c r="AB81" s="6">
        <f>Site1!P100</f>
        <v>500</v>
      </c>
      <c r="AD81" s="6">
        <f>Site2!E100</f>
        <v>250</v>
      </c>
      <c r="AE81" s="6">
        <f>Site2!F100</f>
        <v>375</v>
      </c>
      <c r="AF81" s="6">
        <f>Site2!G100</f>
        <v>375</v>
      </c>
      <c r="AG81" s="6">
        <f>Site2!H100</f>
        <v>375</v>
      </c>
      <c r="AH81" s="6">
        <f>Site2!I100</f>
        <v>375</v>
      </c>
      <c r="AI81" s="6">
        <f>Site2!J100</f>
        <v>375</v>
      </c>
      <c r="AJ81" s="6">
        <f>Site2!K100</f>
        <v>375</v>
      </c>
      <c r="AK81" s="6">
        <f>Site2!L100</f>
        <v>375</v>
      </c>
      <c r="AL81" s="6">
        <f>Site2!M100</f>
        <v>375</v>
      </c>
      <c r="AM81" s="6">
        <f>Site2!N100</f>
        <v>375</v>
      </c>
      <c r="AN81" s="6">
        <f>Site2!O100</f>
        <v>375</v>
      </c>
      <c r="AO81" s="6">
        <f>Site2!P100</f>
        <v>375</v>
      </c>
      <c r="AQ81" s="6">
        <f>Site3!E100</f>
        <v>50</v>
      </c>
      <c r="AR81" s="6">
        <f>Site3!F100</f>
        <v>50</v>
      </c>
      <c r="AS81" s="6">
        <f>Site3!G100</f>
        <v>50</v>
      </c>
      <c r="AT81" s="6">
        <f>Site3!H100</f>
        <v>50</v>
      </c>
      <c r="AU81" s="6">
        <f>Site3!I100</f>
        <v>50</v>
      </c>
      <c r="AV81" s="6">
        <f>Site3!J100</f>
        <v>50</v>
      </c>
      <c r="AW81" s="6">
        <f>Site3!K100</f>
        <v>50</v>
      </c>
      <c r="AX81" s="6">
        <f>Site3!L100</f>
        <v>50</v>
      </c>
      <c r="AY81" s="6">
        <f>Site3!M100</f>
        <v>50</v>
      </c>
      <c r="AZ81" s="6">
        <f>Site3!N100</f>
        <v>50</v>
      </c>
      <c r="BA81" s="6">
        <f>Site3!O100</f>
        <v>50</v>
      </c>
      <c r="BB81" s="6">
        <f>Site3!P100</f>
        <v>50</v>
      </c>
      <c r="BD81" s="6">
        <f>Site4!E100</f>
        <v>250</v>
      </c>
      <c r="BE81" s="6">
        <f>Site4!F100</f>
        <v>500</v>
      </c>
      <c r="BF81" s="6">
        <f>Site4!G100</f>
        <v>500</v>
      </c>
      <c r="BG81" s="6">
        <f>Site4!H100</f>
        <v>500</v>
      </c>
      <c r="BH81" s="6">
        <f>Site4!I100</f>
        <v>500</v>
      </c>
      <c r="BI81" s="6">
        <f>Site4!J100</f>
        <v>500</v>
      </c>
      <c r="BJ81" s="6">
        <f>Site4!K100</f>
        <v>500</v>
      </c>
      <c r="BK81" s="6">
        <f>Site4!L100</f>
        <v>500</v>
      </c>
      <c r="BL81" s="6">
        <f>Site4!M100</f>
        <v>500</v>
      </c>
      <c r="BM81" s="6">
        <f>Site4!N100</f>
        <v>500</v>
      </c>
      <c r="BN81" s="6">
        <f>Site4!O100</f>
        <v>500</v>
      </c>
      <c r="BO81" s="6">
        <f>Site4!P100</f>
        <v>500</v>
      </c>
      <c r="BQ81" s="6">
        <f>Site5!E100</f>
        <v>125</v>
      </c>
      <c r="BR81" s="6">
        <f>Site5!F100</f>
        <v>250</v>
      </c>
      <c r="BS81" s="6">
        <f>Site5!G100</f>
        <v>250</v>
      </c>
      <c r="BT81" s="6">
        <f>Site5!H100</f>
        <v>250</v>
      </c>
      <c r="BU81" s="6">
        <f>Site5!I100</f>
        <v>250</v>
      </c>
      <c r="BV81" s="6">
        <f>Site5!J100</f>
        <v>250</v>
      </c>
      <c r="BW81" s="6">
        <f>Site5!K100</f>
        <v>250</v>
      </c>
      <c r="BX81" s="6">
        <f>Site5!L100</f>
        <v>250</v>
      </c>
      <c r="BY81" s="6">
        <f>Site5!M100</f>
        <v>250</v>
      </c>
      <c r="BZ81" s="6">
        <f>Site5!N100</f>
        <v>250</v>
      </c>
      <c r="CA81" s="6">
        <f>Site5!O100</f>
        <v>250</v>
      </c>
      <c r="CB81" s="6">
        <f>Site5!P100</f>
        <v>250</v>
      </c>
      <c r="CD81" s="6">
        <f>Site6!E100</f>
        <v>0</v>
      </c>
      <c r="CE81" s="6">
        <f>Site6!F100</f>
        <v>0</v>
      </c>
      <c r="CF81" s="6">
        <f>Site6!G100</f>
        <v>250</v>
      </c>
      <c r="CG81" s="6">
        <f>Site6!H100</f>
        <v>500</v>
      </c>
      <c r="CH81" s="6">
        <f>Site6!I100</f>
        <v>500</v>
      </c>
      <c r="CI81" s="6">
        <f>Site6!J100</f>
        <v>500</v>
      </c>
      <c r="CJ81" s="6">
        <f>Site6!K100</f>
        <v>500</v>
      </c>
      <c r="CK81" s="6">
        <f>Site6!L100</f>
        <v>500</v>
      </c>
      <c r="CL81" s="6">
        <f>Site6!M100</f>
        <v>500</v>
      </c>
      <c r="CM81" s="6">
        <f>Site6!N100</f>
        <v>500</v>
      </c>
      <c r="CN81" s="6">
        <f>Site6!O100</f>
        <v>500</v>
      </c>
      <c r="CO81" s="6">
        <f>Site6!P100</f>
        <v>500</v>
      </c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s="16" customFormat="1" collapsed="1" x14ac:dyDescent="0.25">
      <c r="A82" s="282">
        <v>330</v>
      </c>
      <c r="B82" s="274" t="s">
        <v>579</v>
      </c>
      <c r="D82" s="260">
        <f t="shared" si="10"/>
        <v>31675</v>
      </c>
      <c r="E82" s="260">
        <f t="shared" si="11"/>
        <v>12875</v>
      </c>
      <c r="F82" s="260">
        <f t="shared" si="12"/>
        <v>15500</v>
      </c>
      <c r="G82" s="260">
        <f t="shared" si="13"/>
        <v>15950</v>
      </c>
      <c r="H82" s="260">
        <f t="shared" si="14"/>
        <v>15950</v>
      </c>
      <c r="I82" s="260">
        <f t="shared" si="15"/>
        <v>15950</v>
      </c>
      <c r="J82" s="260">
        <f t="shared" si="16"/>
        <v>15950</v>
      </c>
      <c r="K82" s="260">
        <f t="shared" si="17"/>
        <v>16200</v>
      </c>
      <c r="L82" s="260">
        <f t="shared" si="18"/>
        <v>16575</v>
      </c>
      <c r="M82" s="260">
        <f t="shared" si="19"/>
        <v>16950</v>
      </c>
      <c r="N82" s="260">
        <f t="shared" si="20"/>
        <v>16950</v>
      </c>
      <c r="O82" s="260">
        <f t="shared" si="21"/>
        <v>16950</v>
      </c>
      <c r="Q82" s="261">
        <f>Site1!E101</f>
        <v>3250</v>
      </c>
      <c r="R82" s="261">
        <f>Site1!F101</f>
        <v>3250</v>
      </c>
      <c r="S82" s="261">
        <f>Site1!G101</f>
        <v>3250</v>
      </c>
      <c r="T82" s="261">
        <f>Site1!H101</f>
        <v>3250</v>
      </c>
      <c r="U82" s="261">
        <f>Site1!I101</f>
        <v>3250</v>
      </c>
      <c r="V82" s="261">
        <f>Site1!J101</f>
        <v>3250</v>
      </c>
      <c r="W82" s="261">
        <f>Site1!K101</f>
        <v>3250</v>
      </c>
      <c r="X82" s="261">
        <f>Site1!L101</f>
        <v>3250</v>
      </c>
      <c r="Y82" s="261">
        <f>Site1!M101</f>
        <v>3250</v>
      </c>
      <c r="Z82" s="261">
        <f>Site1!N101</f>
        <v>3250</v>
      </c>
      <c r="AA82" s="261">
        <f>Site1!O101</f>
        <v>3250</v>
      </c>
      <c r="AB82" s="261">
        <f>Site1!P101</f>
        <v>3250</v>
      </c>
      <c r="AD82" s="261">
        <f>Site2!E101</f>
        <v>3000</v>
      </c>
      <c r="AE82" s="261">
        <f>Site2!F101</f>
        <v>3125</v>
      </c>
      <c r="AF82" s="261">
        <f>Site2!G101</f>
        <v>3125</v>
      </c>
      <c r="AG82" s="261">
        <f>Site2!H101</f>
        <v>3125</v>
      </c>
      <c r="AH82" s="261">
        <f>Site2!I101</f>
        <v>3125</v>
      </c>
      <c r="AI82" s="261">
        <f>Site2!J101</f>
        <v>3125</v>
      </c>
      <c r="AJ82" s="261">
        <f>Site2!K101</f>
        <v>3125</v>
      </c>
      <c r="AK82" s="261">
        <f>Site2!L101</f>
        <v>3125</v>
      </c>
      <c r="AL82" s="261">
        <f>Site2!M101</f>
        <v>3125</v>
      </c>
      <c r="AM82" s="261">
        <f>Site2!N101</f>
        <v>3125</v>
      </c>
      <c r="AN82" s="261">
        <f>Site2!O101</f>
        <v>3125</v>
      </c>
      <c r="AO82" s="261">
        <f>Site2!P101</f>
        <v>3125</v>
      </c>
      <c r="AQ82" s="261">
        <f>Site3!E101</f>
        <v>1050</v>
      </c>
      <c r="AR82" s="261">
        <f>Site3!F101</f>
        <v>1550</v>
      </c>
      <c r="AS82" s="261">
        <f>Site3!G101</f>
        <v>1550</v>
      </c>
      <c r="AT82" s="261">
        <f>Site3!H101</f>
        <v>1550</v>
      </c>
      <c r="AU82" s="261">
        <f>Site3!I101</f>
        <v>1550</v>
      </c>
      <c r="AV82" s="261">
        <f>Site3!J101</f>
        <v>1550</v>
      </c>
      <c r="AW82" s="261">
        <f>Site3!K101</f>
        <v>1550</v>
      </c>
      <c r="AX82" s="261">
        <f>Site3!L101</f>
        <v>1550</v>
      </c>
      <c r="AY82" s="261">
        <f>Site3!M101</f>
        <v>1925</v>
      </c>
      <c r="AZ82" s="261">
        <f>Site3!N101</f>
        <v>1925</v>
      </c>
      <c r="BA82" s="261">
        <f>Site3!O101</f>
        <v>1925</v>
      </c>
      <c r="BB82" s="261">
        <f>Site3!P101</f>
        <v>1925</v>
      </c>
      <c r="BD82" s="261">
        <f>Site4!E101</f>
        <v>2250</v>
      </c>
      <c r="BE82" s="261">
        <f>Site4!F101</f>
        <v>2700</v>
      </c>
      <c r="BF82" s="261">
        <f>Site4!G101</f>
        <v>2700</v>
      </c>
      <c r="BG82" s="261">
        <f>Site4!H101</f>
        <v>2700</v>
      </c>
      <c r="BH82" s="261">
        <f>Site4!I101</f>
        <v>2700</v>
      </c>
      <c r="BI82" s="261">
        <f>Site4!J101</f>
        <v>2700</v>
      </c>
      <c r="BJ82" s="261">
        <f>Site4!K101</f>
        <v>2700</v>
      </c>
      <c r="BK82" s="261">
        <f>Site4!L101</f>
        <v>2950</v>
      </c>
      <c r="BL82" s="261">
        <f>Site4!M101</f>
        <v>2950</v>
      </c>
      <c r="BM82" s="261">
        <f>Site4!N101</f>
        <v>2950</v>
      </c>
      <c r="BN82" s="261">
        <f>Site4!O101</f>
        <v>2950</v>
      </c>
      <c r="BO82" s="261">
        <f>Site4!P101</f>
        <v>2950</v>
      </c>
      <c r="BQ82" s="261">
        <f>Site5!E101</f>
        <v>22125</v>
      </c>
      <c r="BR82" s="261">
        <f>Site5!F101</f>
        <v>2250</v>
      </c>
      <c r="BS82" s="261">
        <f>Site5!G101</f>
        <v>2625</v>
      </c>
      <c r="BT82" s="261">
        <f>Site5!H101</f>
        <v>2625</v>
      </c>
      <c r="BU82" s="261">
        <f>Site5!I101</f>
        <v>2625</v>
      </c>
      <c r="BV82" s="261">
        <f>Site5!J101</f>
        <v>2625</v>
      </c>
      <c r="BW82" s="261">
        <f>Site5!K101</f>
        <v>2625</v>
      </c>
      <c r="BX82" s="261">
        <f>Site5!L101</f>
        <v>2625</v>
      </c>
      <c r="BY82" s="261">
        <f>Site5!M101</f>
        <v>2625</v>
      </c>
      <c r="BZ82" s="261">
        <f>Site5!N101</f>
        <v>3000</v>
      </c>
      <c r="CA82" s="261">
        <f>Site5!O101</f>
        <v>3000</v>
      </c>
      <c r="CB82" s="261">
        <f>Site5!P101</f>
        <v>3000</v>
      </c>
      <c r="CD82" s="261">
        <f>Site6!E101</f>
        <v>0</v>
      </c>
      <c r="CE82" s="261">
        <f>Site6!F101</f>
        <v>0</v>
      </c>
      <c r="CF82" s="261">
        <f>Site6!G101</f>
        <v>2250</v>
      </c>
      <c r="CG82" s="261">
        <f>Site6!H101</f>
        <v>2700</v>
      </c>
      <c r="CH82" s="261">
        <f>Site6!I101</f>
        <v>2700</v>
      </c>
      <c r="CI82" s="261">
        <f>Site6!J101</f>
        <v>2700</v>
      </c>
      <c r="CJ82" s="261">
        <f>Site6!K101</f>
        <v>2700</v>
      </c>
      <c r="CK82" s="261">
        <f>Site6!L101</f>
        <v>2700</v>
      </c>
      <c r="CL82" s="261">
        <f>Site6!M101</f>
        <v>2700</v>
      </c>
      <c r="CM82" s="261">
        <f>Site6!N101</f>
        <v>2700</v>
      </c>
      <c r="CN82" s="261">
        <f>Site6!O101</f>
        <v>2700</v>
      </c>
      <c r="CO82" s="261">
        <f>Site6!P101</f>
        <v>2700</v>
      </c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</row>
    <row r="83" spans="1:107" s="16" customFormat="1" x14ac:dyDescent="0.25">
      <c r="A83" s="277">
        <v>340</v>
      </c>
      <c r="B83" s="276" t="s">
        <v>488</v>
      </c>
      <c r="D83" s="278">
        <f t="shared" si="10"/>
        <v>0</v>
      </c>
      <c r="E83" s="278">
        <f t="shared" si="11"/>
        <v>0</v>
      </c>
      <c r="F83" s="278">
        <f t="shared" si="12"/>
        <v>0</v>
      </c>
      <c r="G83" s="278">
        <f t="shared" si="13"/>
        <v>0</v>
      </c>
      <c r="H83" s="278">
        <f t="shared" si="14"/>
        <v>0</v>
      </c>
      <c r="I83" s="278">
        <f t="shared" si="15"/>
        <v>0</v>
      </c>
      <c r="J83" s="278">
        <f t="shared" si="16"/>
        <v>0</v>
      </c>
      <c r="K83" s="278">
        <f t="shared" si="17"/>
        <v>0</v>
      </c>
      <c r="L83" s="278">
        <f t="shared" si="18"/>
        <v>0</v>
      </c>
      <c r="M83" s="278">
        <f t="shared" si="19"/>
        <v>0</v>
      </c>
      <c r="N83" s="278">
        <f t="shared" si="20"/>
        <v>0</v>
      </c>
      <c r="O83" s="278">
        <f t="shared" si="21"/>
        <v>0</v>
      </c>
      <c r="Q83" s="287">
        <f>Site1!E102</f>
        <v>0</v>
      </c>
      <c r="R83" s="287">
        <f>Site1!F102</f>
        <v>0</v>
      </c>
      <c r="S83" s="287">
        <f>Site1!G102</f>
        <v>0</v>
      </c>
      <c r="T83" s="287">
        <f>Site1!H102</f>
        <v>0</v>
      </c>
      <c r="U83" s="287">
        <f>Site1!I102</f>
        <v>0</v>
      </c>
      <c r="V83" s="287">
        <f>Site1!J102</f>
        <v>0</v>
      </c>
      <c r="W83" s="287">
        <f>Site1!K102</f>
        <v>0</v>
      </c>
      <c r="X83" s="287">
        <f>Site1!L102</f>
        <v>0</v>
      </c>
      <c r="Y83" s="287">
        <f>Site1!M102</f>
        <v>0</v>
      </c>
      <c r="Z83" s="287">
        <f>Site1!N102</f>
        <v>0</v>
      </c>
      <c r="AA83" s="287">
        <f>Site1!O102</f>
        <v>0</v>
      </c>
      <c r="AB83" s="287">
        <f>Site1!P102</f>
        <v>0</v>
      </c>
      <c r="AD83" s="287">
        <f>Site2!E102</f>
        <v>0</v>
      </c>
      <c r="AE83" s="287">
        <f>Site2!F102</f>
        <v>0</v>
      </c>
      <c r="AF83" s="287">
        <f>Site2!G102</f>
        <v>0</v>
      </c>
      <c r="AG83" s="287">
        <f>Site2!H102</f>
        <v>0</v>
      </c>
      <c r="AH83" s="287">
        <f>Site2!I102</f>
        <v>0</v>
      </c>
      <c r="AI83" s="287">
        <f>Site2!J102</f>
        <v>0</v>
      </c>
      <c r="AJ83" s="287">
        <f>Site2!K102</f>
        <v>0</v>
      </c>
      <c r="AK83" s="287">
        <f>Site2!L102</f>
        <v>0</v>
      </c>
      <c r="AL83" s="287">
        <f>Site2!M102</f>
        <v>0</v>
      </c>
      <c r="AM83" s="287">
        <f>Site2!N102</f>
        <v>0</v>
      </c>
      <c r="AN83" s="287">
        <f>Site2!O102</f>
        <v>0</v>
      </c>
      <c r="AO83" s="287">
        <f>Site2!P102</f>
        <v>0</v>
      </c>
      <c r="AQ83" s="287">
        <f>Site3!E102</f>
        <v>0</v>
      </c>
      <c r="AR83" s="287">
        <f>Site3!F102</f>
        <v>0</v>
      </c>
      <c r="AS83" s="287">
        <f>Site3!G102</f>
        <v>0</v>
      </c>
      <c r="AT83" s="287">
        <f>Site3!H102</f>
        <v>0</v>
      </c>
      <c r="AU83" s="287">
        <f>Site3!I102</f>
        <v>0</v>
      </c>
      <c r="AV83" s="287">
        <f>Site3!J102</f>
        <v>0</v>
      </c>
      <c r="AW83" s="287">
        <f>Site3!K102</f>
        <v>0</v>
      </c>
      <c r="AX83" s="287">
        <f>Site3!L102</f>
        <v>0</v>
      </c>
      <c r="AY83" s="287">
        <f>Site3!M102</f>
        <v>0</v>
      </c>
      <c r="AZ83" s="287">
        <f>Site3!N102</f>
        <v>0</v>
      </c>
      <c r="BA83" s="287">
        <f>Site3!O102</f>
        <v>0</v>
      </c>
      <c r="BB83" s="287">
        <f>Site3!P102</f>
        <v>0</v>
      </c>
      <c r="BD83" s="287">
        <f>Site4!E102</f>
        <v>0</v>
      </c>
      <c r="BE83" s="287">
        <f>Site4!F102</f>
        <v>0</v>
      </c>
      <c r="BF83" s="287">
        <f>Site4!G102</f>
        <v>0</v>
      </c>
      <c r="BG83" s="287">
        <f>Site4!H102</f>
        <v>0</v>
      </c>
      <c r="BH83" s="287">
        <f>Site4!I102</f>
        <v>0</v>
      </c>
      <c r="BI83" s="287">
        <f>Site4!J102</f>
        <v>0</v>
      </c>
      <c r="BJ83" s="287">
        <f>Site4!K102</f>
        <v>0</v>
      </c>
      <c r="BK83" s="287">
        <f>Site4!L102</f>
        <v>0</v>
      </c>
      <c r="BL83" s="287">
        <f>Site4!M102</f>
        <v>0</v>
      </c>
      <c r="BM83" s="287">
        <f>Site4!N102</f>
        <v>0</v>
      </c>
      <c r="BN83" s="287">
        <f>Site4!O102</f>
        <v>0</v>
      </c>
      <c r="BO83" s="287">
        <f>Site4!P102</f>
        <v>0</v>
      </c>
      <c r="BQ83" s="287">
        <f>Site5!E102</f>
        <v>0</v>
      </c>
      <c r="BR83" s="287">
        <f>Site5!F102</f>
        <v>0</v>
      </c>
      <c r="BS83" s="287">
        <f>Site5!G102</f>
        <v>0</v>
      </c>
      <c r="BT83" s="287">
        <f>Site5!H102</f>
        <v>0</v>
      </c>
      <c r="BU83" s="287">
        <f>Site5!I102</f>
        <v>0</v>
      </c>
      <c r="BV83" s="287">
        <f>Site5!J102</f>
        <v>0</v>
      </c>
      <c r="BW83" s="287">
        <f>Site5!K102</f>
        <v>0</v>
      </c>
      <c r="BX83" s="287">
        <f>Site5!L102</f>
        <v>0</v>
      </c>
      <c r="BY83" s="287">
        <f>Site5!M102</f>
        <v>0</v>
      </c>
      <c r="BZ83" s="287">
        <f>Site5!N102</f>
        <v>0</v>
      </c>
      <c r="CA83" s="287">
        <f>Site5!O102</f>
        <v>0</v>
      </c>
      <c r="CB83" s="287">
        <f>Site5!P102</f>
        <v>0</v>
      </c>
      <c r="CD83" s="287">
        <f>Site6!E102</f>
        <v>0</v>
      </c>
      <c r="CE83" s="287">
        <f>Site6!F102</f>
        <v>0</v>
      </c>
      <c r="CF83" s="287">
        <f>Site6!G102</f>
        <v>0</v>
      </c>
      <c r="CG83" s="287">
        <f>Site6!H102</f>
        <v>0</v>
      </c>
      <c r="CH83" s="287">
        <f>Site6!I102</f>
        <v>0</v>
      </c>
      <c r="CI83" s="287">
        <f>Site6!J102</f>
        <v>0</v>
      </c>
      <c r="CJ83" s="287">
        <f>Site6!K102</f>
        <v>0</v>
      </c>
      <c r="CK83" s="287">
        <f>Site6!L102</f>
        <v>0</v>
      </c>
      <c r="CL83" s="287">
        <f>Site6!M102</f>
        <v>0</v>
      </c>
      <c r="CM83" s="287">
        <f>Site6!N102</f>
        <v>0</v>
      </c>
      <c r="CN83" s="287">
        <f>Site6!O102</f>
        <v>0</v>
      </c>
      <c r="CO83" s="287">
        <f>Site6!P102</f>
        <v>0</v>
      </c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</row>
    <row r="84" spans="1:107" s="30" customFormat="1" x14ac:dyDescent="0.25">
      <c r="A84" s="284">
        <v>340</v>
      </c>
      <c r="B84" s="276" t="s">
        <v>518</v>
      </c>
      <c r="D84" s="278">
        <f t="shared" si="10"/>
        <v>9000</v>
      </c>
      <c r="E84" s="278">
        <f t="shared" si="11"/>
        <v>9000</v>
      </c>
      <c r="F84" s="278">
        <f t="shared" si="12"/>
        <v>9000</v>
      </c>
      <c r="G84" s="278">
        <f t="shared" si="13"/>
        <v>9000</v>
      </c>
      <c r="H84" s="278">
        <f t="shared" si="14"/>
        <v>9000</v>
      </c>
      <c r="I84" s="278">
        <f t="shared" si="15"/>
        <v>9000</v>
      </c>
      <c r="J84" s="278">
        <f t="shared" si="16"/>
        <v>9000</v>
      </c>
      <c r="K84" s="278">
        <f t="shared" si="17"/>
        <v>9000</v>
      </c>
      <c r="L84" s="278">
        <f t="shared" si="18"/>
        <v>9000</v>
      </c>
      <c r="M84" s="278">
        <f t="shared" si="19"/>
        <v>9000</v>
      </c>
      <c r="N84" s="278">
        <f t="shared" si="20"/>
        <v>9000</v>
      </c>
      <c r="O84" s="278">
        <f t="shared" si="21"/>
        <v>9000</v>
      </c>
      <c r="Q84" s="287">
        <f>Site1!E104</f>
        <v>0</v>
      </c>
      <c r="R84" s="287">
        <f>Site1!F104</f>
        <v>0</v>
      </c>
      <c r="S84" s="287">
        <f>Site1!G104</f>
        <v>0</v>
      </c>
      <c r="T84" s="287">
        <f>Site1!H104</f>
        <v>0</v>
      </c>
      <c r="U84" s="287">
        <f>Site1!I104</f>
        <v>0</v>
      </c>
      <c r="V84" s="287">
        <f>Site1!J104</f>
        <v>0</v>
      </c>
      <c r="W84" s="287">
        <f>Site1!K104</f>
        <v>0</v>
      </c>
      <c r="X84" s="287">
        <f>Site1!L104</f>
        <v>0</v>
      </c>
      <c r="Y84" s="287">
        <f>Site1!M104</f>
        <v>0</v>
      </c>
      <c r="Z84" s="287">
        <f>Site1!N104</f>
        <v>0</v>
      </c>
      <c r="AA84" s="287">
        <f>Site1!O104</f>
        <v>0</v>
      </c>
      <c r="AB84" s="287">
        <f>Site1!P104</f>
        <v>0</v>
      </c>
      <c r="AD84" s="287">
        <f>Site2!E104</f>
        <v>0</v>
      </c>
      <c r="AE84" s="287">
        <f>Site2!F104</f>
        <v>0</v>
      </c>
      <c r="AF84" s="287">
        <f>Site2!G104</f>
        <v>0</v>
      </c>
      <c r="AG84" s="287">
        <f>Site2!H104</f>
        <v>0</v>
      </c>
      <c r="AH84" s="287">
        <f>Site2!I104</f>
        <v>0</v>
      </c>
      <c r="AI84" s="287">
        <f>Site2!J104</f>
        <v>0</v>
      </c>
      <c r="AJ84" s="287">
        <f>Site2!K104</f>
        <v>0</v>
      </c>
      <c r="AK84" s="287">
        <f>Site2!L104</f>
        <v>0</v>
      </c>
      <c r="AL84" s="287">
        <f>Site2!M104</f>
        <v>0</v>
      </c>
      <c r="AM84" s="287">
        <f>Site2!N104</f>
        <v>0</v>
      </c>
      <c r="AN84" s="287">
        <f>Site2!O104</f>
        <v>0</v>
      </c>
      <c r="AO84" s="287">
        <f>Site2!P104</f>
        <v>0</v>
      </c>
      <c r="AQ84" s="287">
        <f>Site3!E104</f>
        <v>0</v>
      </c>
      <c r="AR84" s="287">
        <f>Site3!F104</f>
        <v>0</v>
      </c>
      <c r="AS84" s="287">
        <f>Site3!G104</f>
        <v>0</v>
      </c>
      <c r="AT84" s="287">
        <f>Site3!H104</f>
        <v>0</v>
      </c>
      <c r="AU84" s="287">
        <f>Site3!I104</f>
        <v>0</v>
      </c>
      <c r="AV84" s="287">
        <f>Site3!J104</f>
        <v>0</v>
      </c>
      <c r="AW84" s="287">
        <f>Site3!K104</f>
        <v>0</v>
      </c>
      <c r="AX84" s="287">
        <f>Site3!L104</f>
        <v>0</v>
      </c>
      <c r="AY84" s="287">
        <f>Site3!M104</f>
        <v>0</v>
      </c>
      <c r="AZ84" s="287">
        <f>Site3!N104</f>
        <v>0</v>
      </c>
      <c r="BA84" s="287">
        <f>Site3!O104</f>
        <v>0</v>
      </c>
      <c r="BB84" s="287">
        <f>Site3!P104</f>
        <v>0</v>
      </c>
      <c r="BD84" s="287">
        <f>Site4!E104</f>
        <v>0</v>
      </c>
      <c r="BE84" s="287">
        <f>Site4!F104</f>
        <v>0</v>
      </c>
      <c r="BF84" s="287">
        <f>Site4!G104</f>
        <v>0</v>
      </c>
      <c r="BG84" s="287">
        <f>Site4!H104</f>
        <v>0</v>
      </c>
      <c r="BH84" s="287">
        <f>Site4!I104</f>
        <v>0</v>
      </c>
      <c r="BI84" s="287">
        <f>Site4!J104</f>
        <v>0</v>
      </c>
      <c r="BJ84" s="287">
        <f>Site4!K104</f>
        <v>0</v>
      </c>
      <c r="BK84" s="287">
        <f>Site4!L104</f>
        <v>0</v>
      </c>
      <c r="BL84" s="287">
        <f>Site4!M104</f>
        <v>0</v>
      </c>
      <c r="BM84" s="287">
        <f>Site4!N104</f>
        <v>0</v>
      </c>
      <c r="BN84" s="287">
        <f>Site4!O104</f>
        <v>0</v>
      </c>
      <c r="BO84" s="287">
        <f>Site4!P104</f>
        <v>0</v>
      </c>
      <c r="BQ84" s="287">
        <f>Site5!E104</f>
        <v>9000</v>
      </c>
      <c r="BR84" s="287">
        <f>Site5!F104</f>
        <v>9000</v>
      </c>
      <c r="BS84" s="287">
        <f>Site5!G104</f>
        <v>9000</v>
      </c>
      <c r="BT84" s="287">
        <f>Site5!H104</f>
        <v>9000</v>
      </c>
      <c r="BU84" s="287">
        <f>Site5!I104</f>
        <v>9000</v>
      </c>
      <c r="BV84" s="287">
        <f>Site5!J104</f>
        <v>9000</v>
      </c>
      <c r="BW84" s="287">
        <f>Site5!K104</f>
        <v>9000</v>
      </c>
      <c r="BX84" s="287">
        <f>Site5!L104</f>
        <v>9000</v>
      </c>
      <c r="BY84" s="287">
        <f>Site5!M104</f>
        <v>9000</v>
      </c>
      <c r="BZ84" s="287">
        <f>Site5!N104</f>
        <v>9000</v>
      </c>
      <c r="CA84" s="287">
        <f>Site5!O104</f>
        <v>9000</v>
      </c>
      <c r="CB84" s="287">
        <f>Site5!P104</f>
        <v>9000</v>
      </c>
      <c r="CD84" s="287">
        <f>Site6!E104</f>
        <v>0</v>
      </c>
      <c r="CE84" s="287">
        <f>Site6!F104</f>
        <v>0</v>
      </c>
      <c r="CF84" s="287">
        <f>Site6!G104</f>
        <v>0</v>
      </c>
      <c r="CG84" s="287">
        <f>Site6!H104</f>
        <v>0</v>
      </c>
      <c r="CH84" s="287">
        <f>Site6!I104</f>
        <v>0</v>
      </c>
      <c r="CI84" s="287">
        <f>Site6!J104</f>
        <v>0</v>
      </c>
      <c r="CJ84" s="287">
        <f>Site6!K104</f>
        <v>0</v>
      </c>
      <c r="CK84" s="287">
        <f>Site6!L104</f>
        <v>0</v>
      </c>
      <c r="CL84" s="287">
        <f>Site6!M104</f>
        <v>0</v>
      </c>
      <c r="CM84" s="287">
        <f>Site6!N104</f>
        <v>0</v>
      </c>
      <c r="CN84" s="287">
        <f>Site6!O104</f>
        <v>0</v>
      </c>
      <c r="CO84" s="287">
        <f>Site6!P104</f>
        <v>0</v>
      </c>
    </row>
    <row r="85" spans="1:107" s="30" customFormat="1" x14ac:dyDescent="0.25">
      <c r="A85" s="284">
        <v>340</v>
      </c>
      <c r="B85" s="276" t="s">
        <v>490</v>
      </c>
      <c r="D85" s="278">
        <f t="shared" si="10"/>
        <v>5000</v>
      </c>
      <c r="E85" s="278">
        <f t="shared" si="11"/>
        <v>5000</v>
      </c>
      <c r="F85" s="278">
        <f t="shared" si="12"/>
        <v>5000</v>
      </c>
      <c r="G85" s="278">
        <f t="shared" si="13"/>
        <v>5000</v>
      </c>
      <c r="H85" s="278">
        <f t="shared" si="14"/>
        <v>5000</v>
      </c>
      <c r="I85" s="278">
        <f t="shared" si="15"/>
        <v>5000</v>
      </c>
      <c r="J85" s="278">
        <f t="shared" si="16"/>
        <v>5000</v>
      </c>
      <c r="K85" s="278">
        <f t="shared" si="17"/>
        <v>5000</v>
      </c>
      <c r="L85" s="278">
        <f t="shared" si="18"/>
        <v>5000</v>
      </c>
      <c r="M85" s="278">
        <f t="shared" si="19"/>
        <v>5000</v>
      </c>
      <c r="N85" s="278">
        <f t="shared" si="20"/>
        <v>5000</v>
      </c>
      <c r="O85" s="278">
        <f t="shared" si="21"/>
        <v>5000</v>
      </c>
      <c r="Q85" s="287">
        <f>Site1!E105</f>
        <v>0</v>
      </c>
      <c r="R85" s="287">
        <f>Site1!F105</f>
        <v>0</v>
      </c>
      <c r="S85" s="287">
        <f>Site1!G105</f>
        <v>0</v>
      </c>
      <c r="T85" s="287">
        <f>Site1!H105</f>
        <v>0</v>
      </c>
      <c r="U85" s="287">
        <f>Site1!I105</f>
        <v>0</v>
      </c>
      <c r="V85" s="287">
        <f>Site1!J105</f>
        <v>0</v>
      </c>
      <c r="W85" s="287">
        <f>Site1!K105</f>
        <v>0</v>
      </c>
      <c r="X85" s="287">
        <f>Site1!L105</f>
        <v>0</v>
      </c>
      <c r="Y85" s="287">
        <f>Site1!M105</f>
        <v>0</v>
      </c>
      <c r="Z85" s="287">
        <f>Site1!N105</f>
        <v>0</v>
      </c>
      <c r="AA85" s="287">
        <f>Site1!O105</f>
        <v>0</v>
      </c>
      <c r="AB85" s="287">
        <f>Site1!P105</f>
        <v>0</v>
      </c>
      <c r="AD85" s="287">
        <f>Site2!E105</f>
        <v>0</v>
      </c>
      <c r="AE85" s="287">
        <f>Site2!F105</f>
        <v>0</v>
      </c>
      <c r="AF85" s="287">
        <f>Site2!G105</f>
        <v>0</v>
      </c>
      <c r="AG85" s="287">
        <f>Site2!H105</f>
        <v>0</v>
      </c>
      <c r="AH85" s="287">
        <f>Site2!I105</f>
        <v>0</v>
      </c>
      <c r="AI85" s="287">
        <f>Site2!J105</f>
        <v>0</v>
      </c>
      <c r="AJ85" s="287">
        <f>Site2!K105</f>
        <v>0</v>
      </c>
      <c r="AK85" s="287">
        <f>Site2!L105</f>
        <v>0</v>
      </c>
      <c r="AL85" s="287">
        <f>Site2!M105</f>
        <v>0</v>
      </c>
      <c r="AM85" s="287">
        <f>Site2!N105</f>
        <v>0</v>
      </c>
      <c r="AN85" s="287">
        <f>Site2!O105</f>
        <v>0</v>
      </c>
      <c r="AO85" s="287">
        <f>Site2!P105</f>
        <v>0</v>
      </c>
      <c r="AQ85" s="287">
        <f>Site3!E105</f>
        <v>0</v>
      </c>
      <c r="AR85" s="287">
        <f>Site3!F105</f>
        <v>0</v>
      </c>
      <c r="AS85" s="287">
        <f>Site3!G105</f>
        <v>0</v>
      </c>
      <c r="AT85" s="287">
        <f>Site3!H105</f>
        <v>0</v>
      </c>
      <c r="AU85" s="287">
        <f>Site3!I105</f>
        <v>0</v>
      </c>
      <c r="AV85" s="287">
        <f>Site3!J105</f>
        <v>0</v>
      </c>
      <c r="AW85" s="287">
        <f>Site3!K105</f>
        <v>0</v>
      </c>
      <c r="AX85" s="287">
        <f>Site3!L105</f>
        <v>0</v>
      </c>
      <c r="AY85" s="287">
        <f>Site3!M105</f>
        <v>0</v>
      </c>
      <c r="AZ85" s="287">
        <f>Site3!N105</f>
        <v>0</v>
      </c>
      <c r="BA85" s="287">
        <f>Site3!O105</f>
        <v>0</v>
      </c>
      <c r="BB85" s="287">
        <f>Site3!P105</f>
        <v>0</v>
      </c>
      <c r="BD85" s="287">
        <f>Site4!E105</f>
        <v>0</v>
      </c>
      <c r="BE85" s="287">
        <f>Site4!F105</f>
        <v>0</v>
      </c>
      <c r="BF85" s="287">
        <f>Site4!G105</f>
        <v>0</v>
      </c>
      <c r="BG85" s="287">
        <f>Site4!H105</f>
        <v>0</v>
      </c>
      <c r="BH85" s="287">
        <f>Site4!I105</f>
        <v>0</v>
      </c>
      <c r="BI85" s="287">
        <f>Site4!J105</f>
        <v>0</v>
      </c>
      <c r="BJ85" s="287">
        <f>Site4!K105</f>
        <v>0</v>
      </c>
      <c r="BK85" s="287">
        <f>Site4!L105</f>
        <v>0</v>
      </c>
      <c r="BL85" s="287">
        <f>Site4!M105</f>
        <v>0</v>
      </c>
      <c r="BM85" s="287">
        <f>Site4!N105</f>
        <v>0</v>
      </c>
      <c r="BN85" s="287">
        <f>Site4!O105</f>
        <v>0</v>
      </c>
      <c r="BO85" s="287">
        <f>Site4!P105</f>
        <v>0</v>
      </c>
      <c r="BQ85" s="287">
        <f>Site5!E105</f>
        <v>5000</v>
      </c>
      <c r="BR85" s="287">
        <f>Site5!F105</f>
        <v>5000</v>
      </c>
      <c r="BS85" s="287">
        <f>Site5!G105</f>
        <v>5000</v>
      </c>
      <c r="BT85" s="287">
        <f>Site5!H105</f>
        <v>5000</v>
      </c>
      <c r="BU85" s="287">
        <f>Site5!I105</f>
        <v>5000</v>
      </c>
      <c r="BV85" s="287">
        <f>Site5!J105</f>
        <v>5000</v>
      </c>
      <c r="BW85" s="287">
        <f>Site5!K105</f>
        <v>5000</v>
      </c>
      <c r="BX85" s="287">
        <f>Site5!L105</f>
        <v>5000</v>
      </c>
      <c r="BY85" s="287">
        <f>Site5!M105</f>
        <v>5000</v>
      </c>
      <c r="BZ85" s="287">
        <f>Site5!N105</f>
        <v>5000</v>
      </c>
      <c r="CA85" s="287">
        <f>Site5!O105</f>
        <v>5000</v>
      </c>
      <c r="CB85" s="287">
        <f>Site5!P105</f>
        <v>5000</v>
      </c>
      <c r="CD85" s="287">
        <f>Site6!E105</f>
        <v>0</v>
      </c>
      <c r="CE85" s="287">
        <f>Site6!F105</f>
        <v>0</v>
      </c>
      <c r="CF85" s="287">
        <f>Site6!G105</f>
        <v>0</v>
      </c>
      <c r="CG85" s="287">
        <f>Site6!H105</f>
        <v>0</v>
      </c>
      <c r="CH85" s="287">
        <f>Site6!I105</f>
        <v>0</v>
      </c>
      <c r="CI85" s="287">
        <f>Site6!J105</f>
        <v>0</v>
      </c>
      <c r="CJ85" s="287">
        <f>Site6!K105</f>
        <v>0</v>
      </c>
      <c r="CK85" s="287">
        <f>Site6!L105</f>
        <v>0</v>
      </c>
      <c r="CL85" s="287">
        <f>Site6!M105</f>
        <v>0</v>
      </c>
      <c r="CM85" s="287">
        <f>Site6!N105</f>
        <v>0</v>
      </c>
      <c r="CN85" s="287">
        <f>Site6!O105</f>
        <v>0</v>
      </c>
      <c r="CO85" s="287">
        <f>Site6!P105</f>
        <v>0</v>
      </c>
    </row>
    <row r="86" spans="1:107" hidden="1" outlineLevel="1" x14ac:dyDescent="0.25">
      <c r="A86" s="100">
        <v>6340</v>
      </c>
      <c r="B86" s="18" t="s">
        <v>79</v>
      </c>
      <c r="D86" s="154">
        <f t="shared" si="10"/>
        <v>6000</v>
      </c>
      <c r="E86" s="154">
        <f t="shared" si="11"/>
        <v>0</v>
      </c>
      <c r="F86" s="154">
        <f t="shared" si="12"/>
        <v>0</v>
      </c>
      <c r="G86" s="154">
        <f t="shared" si="13"/>
        <v>0</v>
      </c>
      <c r="H86" s="154">
        <f t="shared" si="14"/>
        <v>0</v>
      </c>
      <c r="I86" s="154">
        <f t="shared" si="15"/>
        <v>0</v>
      </c>
      <c r="J86" s="154">
        <f t="shared" si="16"/>
        <v>0</v>
      </c>
      <c r="K86" s="154">
        <f t="shared" si="17"/>
        <v>0</v>
      </c>
      <c r="L86" s="154">
        <f t="shared" si="18"/>
        <v>0</v>
      </c>
      <c r="M86" s="154">
        <f t="shared" si="19"/>
        <v>0</v>
      </c>
      <c r="N86" s="154">
        <f t="shared" si="20"/>
        <v>0</v>
      </c>
      <c r="O86" s="154">
        <f t="shared" si="21"/>
        <v>0</v>
      </c>
      <c r="Q86" s="6">
        <f>Site1!E106</f>
        <v>0</v>
      </c>
      <c r="R86" s="6">
        <f>Site1!F106</f>
        <v>0</v>
      </c>
      <c r="S86" s="6">
        <f>Site1!G106</f>
        <v>0</v>
      </c>
      <c r="T86" s="6">
        <f>Site1!H106</f>
        <v>0</v>
      </c>
      <c r="U86" s="6">
        <f>Site1!I106</f>
        <v>0</v>
      </c>
      <c r="V86" s="6">
        <f>Site1!J106</f>
        <v>0</v>
      </c>
      <c r="W86" s="6">
        <f>Site1!K106</f>
        <v>0</v>
      </c>
      <c r="X86" s="6">
        <f>Site1!L106</f>
        <v>0</v>
      </c>
      <c r="Y86" s="6">
        <f>Site1!M106</f>
        <v>0</v>
      </c>
      <c r="Z86" s="6">
        <f>Site1!N106</f>
        <v>0</v>
      </c>
      <c r="AA86" s="6">
        <f>Site1!O106</f>
        <v>0</v>
      </c>
      <c r="AB86" s="6">
        <f>Site1!P106</f>
        <v>0</v>
      </c>
      <c r="AD86" s="6">
        <f>Site2!E106</f>
        <v>0</v>
      </c>
      <c r="AE86" s="6">
        <f>Site2!F106</f>
        <v>0</v>
      </c>
      <c r="AF86" s="6">
        <f>Site2!G106</f>
        <v>0</v>
      </c>
      <c r="AG86" s="6">
        <f>Site2!H106</f>
        <v>0</v>
      </c>
      <c r="AH86" s="6">
        <f>Site2!I106</f>
        <v>0</v>
      </c>
      <c r="AI86" s="6">
        <f>Site2!J106</f>
        <v>0</v>
      </c>
      <c r="AJ86" s="6">
        <f>Site2!K106</f>
        <v>0</v>
      </c>
      <c r="AK86" s="6">
        <f>Site2!L106</f>
        <v>0</v>
      </c>
      <c r="AL86" s="6">
        <f>Site2!M106</f>
        <v>0</v>
      </c>
      <c r="AM86" s="6">
        <f>Site2!N106</f>
        <v>0</v>
      </c>
      <c r="AN86" s="6">
        <f>Site2!O106</f>
        <v>0</v>
      </c>
      <c r="AO86" s="6">
        <f>Site2!P106</f>
        <v>0</v>
      </c>
      <c r="AQ86" s="6">
        <f>Site3!E106</f>
        <v>0</v>
      </c>
      <c r="AR86" s="6">
        <f>Site3!F106</f>
        <v>0</v>
      </c>
      <c r="AS86" s="6">
        <f>Site3!G106</f>
        <v>0</v>
      </c>
      <c r="AT86" s="6">
        <f>Site3!H106</f>
        <v>0</v>
      </c>
      <c r="AU86" s="6">
        <f>Site3!I106</f>
        <v>0</v>
      </c>
      <c r="AV86" s="6">
        <f>Site3!J106</f>
        <v>0</v>
      </c>
      <c r="AW86" s="6">
        <f>Site3!K106</f>
        <v>0</v>
      </c>
      <c r="AX86" s="6">
        <f>Site3!L106</f>
        <v>0</v>
      </c>
      <c r="AY86" s="6">
        <f>Site3!M106</f>
        <v>0</v>
      </c>
      <c r="AZ86" s="6">
        <f>Site3!N106</f>
        <v>0</v>
      </c>
      <c r="BA86" s="6">
        <f>Site3!O106</f>
        <v>0</v>
      </c>
      <c r="BB86" s="6">
        <f>Site3!P106</f>
        <v>0</v>
      </c>
      <c r="BD86" s="6">
        <f>Site4!E106</f>
        <v>0</v>
      </c>
      <c r="BE86" s="6">
        <f>Site4!F106</f>
        <v>0</v>
      </c>
      <c r="BF86" s="6">
        <f>Site4!G106</f>
        <v>0</v>
      </c>
      <c r="BG86" s="6">
        <f>Site4!H106</f>
        <v>0</v>
      </c>
      <c r="BH86" s="6">
        <f>Site4!I106</f>
        <v>0</v>
      </c>
      <c r="BI86" s="6">
        <f>Site4!J106</f>
        <v>0</v>
      </c>
      <c r="BJ86" s="6">
        <f>Site4!K106</f>
        <v>0</v>
      </c>
      <c r="BK86" s="6">
        <f>Site4!L106</f>
        <v>0</v>
      </c>
      <c r="BL86" s="6">
        <f>Site4!M106</f>
        <v>0</v>
      </c>
      <c r="BM86" s="6">
        <f>Site4!N106</f>
        <v>0</v>
      </c>
      <c r="BN86" s="6">
        <f>Site4!O106</f>
        <v>0</v>
      </c>
      <c r="BO86" s="6">
        <f>Site4!P106</f>
        <v>0</v>
      </c>
      <c r="BQ86" s="6">
        <f>Site5!E106</f>
        <v>6000</v>
      </c>
      <c r="BR86" s="6">
        <f>Site5!F106</f>
        <v>0</v>
      </c>
      <c r="BS86" s="6">
        <f>Site5!G106</f>
        <v>0</v>
      </c>
      <c r="BT86" s="6">
        <f>Site5!H106</f>
        <v>0</v>
      </c>
      <c r="BU86" s="6">
        <f>Site5!I106</f>
        <v>0</v>
      </c>
      <c r="BV86" s="6">
        <f>Site5!J106</f>
        <v>0</v>
      </c>
      <c r="BW86" s="6">
        <f>Site5!K106</f>
        <v>0</v>
      </c>
      <c r="BX86" s="6">
        <f>Site5!L106</f>
        <v>0</v>
      </c>
      <c r="BY86" s="6">
        <f>Site5!M106</f>
        <v>0</v>
      </c>
      <c r="BZ86" s="6">
        <f>Site5!N106</f>
        <v>0</v>
      </c>
      <c r="CA86" s="6">
        <f>Site5!O106</f>
        <v>0</v>
      </c>
      <c r="CB86" s="6">
        <f>Site5!P106</f>
        <v>0</v>
      </c>
      <c r="CD86" s="6">
        <f>Site6!E106</f>
        <v>0</v>
      </c>
      <c r="CE86" s="6">
        <f>Site6!F106</f>
        <v>0</v>
      </c>
      <c r="CF86" s="6">
        <f>Site6!G106</f>
        <v>0</v>
      </c>
      <c r="CG86" s="6">
        <f>Site6!H106</f>
        <v>0</v>
      </c>
      <c r="CH86" s="6">
        <f>Site6!I106</f>
        <v>0</v>
      </c>
      <c r="CI86" s="6">
        <f>Site6!J106</f>
        <v>0</v>
      </c>
      <c r="CJ86" s="6">
        <f>Site6!K106</f>
        <v>0</v>
      </c>
      <c r="CK86" s="6">
        <f>Site6!L106</f>
        <v>0</v>
      </c>
      <c r="CL86" s="6">
        <f>Site6!M106</f>
        <v>0</v>
      </c>
      <c r="CM86" s="6">
        <f>Site6!N106</f>
        <v>0</v>
      </c>
      <c r="CN86" s="6">
        <f>Site6!O106</f>
        <v>0</v>
      </c>
      <c r="CO86" s="6">
        <f>Site6!P106</f>
        <v>0</v>
      </c>
    </row>
    <row r="87" spans="1:107" hidden="1" outlineLevel="1" x14ac:dyDescent="0.25">
      <c r="A87" s="100">
        <v>6345</v>
      </c>
      <c r="B87" s="18" t="s">
        <v>492</v>
      </c>
      <c r="D87" s="154">
        <f t="shared" si="10"/>
        <v>0</v>
      </c>
      <c r="E87" s="154">
        <f t="shared" si="11"/>
        <v>0</v>
      </c>
      <c r="F87" s="154">
        <f t="shared" si="12"/>
        <v>0</v>
      </c>
      <c r="G87" s="154">
        <f t="shared" si="13"/>
        <v>0</v>
      </c>
      <c r="H87" s="154">
        <f t="shared" si="14"/>
        <v>0</v>
      </c>
      <c r="I87" s="154">
        <f t="shared" si="15"/>
        <v>0</v>
      </c>
      <c r="J87" s="154">
        <f t="shared" si="16"/>
        <v>0</v>
      </c>
      <c r="K87" s="154">
        <f t="shared" si="17"/>
        <v>0</v>
      </c>
      <c r="L87" s="154">
        <f t="shared" si="18"/>
        <v>0</v>
      </c>
      <c r="M87" s="154">
        <f t="shared" si="19"/>
        <v>0</v>
      </c>
      <c r="N87" s="154">
        <f t="shared" si="20"/>
        <v>0</v>
      </c>
      <c r="O87" s="154">
        <f t="shared" si="21"/>
        <v>0</v>
      </c>
      <c r="Q87" s="6">
        <f>Site1!E107</f>
        <v>0</v>
      </c>
      <c r="R87" s="6">
        <f>Site1!F107</f>
        <v>0</v>
      </c>
      <c r="S87" s="6">
        <f>Site1!G107</f>
        <v>0</v>
      </c>
      <c r="T87" s="6">
        <f>Site1!H107</f>
        <v>0</v>
      </c>
      <c r="U87" s="6">
        <f>Site1!I107</f>
        <v>0</v>
      </c>
      <c r="V87" s="6">
        <f>Site1!J107</f>
        <v>0</v>
      </c>
      <c r="W87" s="6">
        <f>Site1!K107</f>
        <v>0</v>
      </c>
      <c r="X87" s="6">
        <f>Site1!L107</f>
        <v>0</v>
      </c>
      <c r="Y87" s="6">
        <f>Site1!M107</f>
        <v>0</v>
      </c>
      <c r="Z87" s="6">
        <f>Site1!N107</f>
        <v>0</v>
      </c>
      <c r="AA87" s="6">
        <f>Site1!O107</f>
        <v>0</v>
      </c>
      <c r="AB87" s="6">
        <f>Site1!P107</f>
        <v>0</v>
      </c>
      <c r="AD87" s="6">
        <f>Site2!E107</f>
        <v>0</v>
      </c>
      <c r="AE87" s="6">
        <f>Site2!F107</f>
        <v>0</v>
      </c>
      <c r="AF87" s="6">
        <f>Site2!G107</f>
        <v>0</v>
      </c>
      <c r="AG87" s="6">
        <f>Site2!H107</f>
        <v>0</v>
      </c>
      <c r="AH87" s="6">
        <f>Site2!I107</f>
        <v>0</v>
      </c>
      <c r="AI87" s="6">
        <f>Site2!J107</f>
        <v>0</v>
      </c>
      <c r="AJ87" s="6">
        <f>Site2!K107</f>
        <v>0</v>
      </c>
      <c r="AK87" s="6">
        <f>Site2!L107</f>
        <v>0</v>
      </c>
      <c r="AL87" s="6">
        <f>Site2!M107</f>
        <v>0</v>
      </c>
      <c r="AM87" s="6">
        <f>Site2!N107</f>
        <v>0</v>
      </c>
      <c r="AN87" s="6">
        <f>Site2!O107</f>
        <v>0</v>
      </c>
      <c r="AO87" s="6">
        <f>Site2!P107</f>
        <v>0</v>
      </c>
      <c r="AQ87" s="6">
        <f>Site3!E107</f>
        <v>0</v>
      </c>
      <c r="AR87" s="6">
        <f>Site3!F107</f>
        <v>0</v>
      </c>
      <c r="AS87" s="6">
        <f>Site3!G107</f>
        <v>0</v>
      </c>
      <c r="AT87" s="6">
        <f>Site3!H107</f>
        <v>0</v>
      </c>
      <c r="AU87" s="6">
        <f>Site3!I107</f>
        <v>0</v>
      </c>
      <c r="AV87" s="6">
        <f>Site3!J107</f>
        <v>0</v>
      </c>
      <c r="AW87" s="6">
        <f>Site3!K107</f>
        <v>0</v>
      </c>
      <c r="AX87" s="6">
        <f>Site3!L107</f>
        <v>0</v>
      </c>
      <c r="AY87" s="6">
        <f>Site3!M107</f>
        <v>0</v>
      </c>
      <c r="AZ87" s="6">
        <f>Site3!N107</f>
        <v>0</v>
      </c>
      <c r="BA87" s="6">
        <f>Site3!O107</f>
        <v>0</v>
      </c>
      <c r="BB87" s="6">
        <f>Site3!P107</f>
        <v>0</v>
      </c>
      <c r="BD87" s="6">
        <f>Site4!E107</f>
        <v>0</v>
      </c>
      <c r="BE87" s="6">
        <f>Site4!F107</f>
        <v>0</v>
      </c>
      <c r="BF87" s="6">
        <f>Site4!G107</f>
        <v>0</v>
      </c>
      <c r="BG87" s="6">
        <f>Site4!H107</f>
        <v>0</v>
      </c>
      <c r="BH87" s="6">
        <f>Site4!I107</f>
        <v>0</v>
      </c>
      <c r="BI87" s="6">
        <f>Site4!J107</f>
        <v>0</v>
      </c>
      <c r="BJ87" s="6">
        <f>Site4!K107</f>
        <v>0</v>
      </c>
      <c r="BK87" s="6">
        <f>Site4!L107</f>
        <v>0</v>
      </c>
      <c r="BL87" s="6">
        <f>Site4!M107</f>
        <v>0</v>
      </c>
      <c r="BM87" s="6">
        <f>Site4!N107</f>
        <v>0</v>
      </c>
      <c r="BN87" s="6">
        <f>Site4!O107</f>
        <v>0</v>
      </c>
      <c r="BO87" s="6">
        <f>Site4!P107</f>
        <v>0</v>
      </c>
      <c r="BQ87" s="6">
        <f>Site5!E107</f>
        <v>0</v>
      </c>
      <c r="BR87" s="6">
        <f>Site5!F107</f>
        <v>0</v>
      </c>
      <c r="BS87" s="6">
        <f>Site5!G107</f>
        <v>0</v>
      </c>
      <c r="BT87" s="6">
        <f>Site5!H107</f>
        <v>0</v>
      </c>
      <c r="BU87" s="6">
        <f>Site5!I107</f>
        <v>0</v>
      </c>
      <c r="BV87" s="6">
        <f>Site5!J107</f>
        <v>0</v>
      </c>
      <c r="BW87" s="6">
        <f>Site5!K107</f>
        <v>0</v>
      </c>
      <c r="BX87" s="6">
        <f>Site5!L107</f>
        <v>0</v>
      </c>
      <c r="BY87" s="6">
        <f>Site5!M107</f>
        <v>0</v>
      </c>
      <c r="BZ87" s="6">
        <f>Site5!N107</f>
        <v>0</v>
      </c>
      <c r="CA87" s="6">
        <f>Site5!O107</f>
        <v>0</v>
      </c>
      <c r="CB87" s="6">
        <f>Site5!P107</f>
        <v>0</v>
      </c>
      <c r="CD87" s="6">
        <f>Site6!E107</f>
        <v>0</v>
      </c>
      <c r="CE87" s="6">
        <f>Site6!F107</f>
        <v>0</v>
      </c>
      <c r="CF87" s="6">
        <f>Site6!G107</f>
        <v>0</v>
      </c>
      <c r="CG87" s="6">
        <f>Site6!H107</f>
        <v>0</v>
      </c>
      <c r="CH87" s="6">
        <f>Site6!I107</f>
        <v>0</v>
      </c>
      <c r="CI87" s="6">
        <f>Site6!J107</f>
        <v>0</v>
      </c>
      <c r="CJ87" s="6">
        <f>Site6!K107</f>
        <v>0</v>
      </c>
      <c r="CK87" s="6">
        <f>Site6!L107</f>
        <v>0</v>
      </c>
      <c r="CL87" s="6">
        <f>Site6!M107</f>
        <v>0</v>
      </c>
      <c r="CM87" s="6">
        <f>Site6!N107</f>
        <v>0</v>
      </c>
      <c r="CN87" s="6">
        <f>Site6!O107</f>
        <v>0</v>
      </c>
      <c r="CO87" s="6">
        <f>Site6!P107</f>
        <v>0</v>
      </c>
    </row>
    <row r="88" spans="1:107" s="30" customFormat="1" collapsed="1" x14ac:dyDescent="0.25">
      <c r="A88" s="101">
        <v>340</v>
      </c>
      <c r="B88" s="274" t="s">
        <v>519</v>
      </c>
      <c r="D88" s="260">
        <f t="shared" ref="D88:D151" si="22">Q88+AD88+AQ88+BD88+BQ88+CD88</f>
        <v>6000</v>
      </c>
      <c r="E88" s="260">
        <f t="shared" si="11"/>
        <v>0</v>
      </c>
      <c r="F88" s="260">
        <f t="shared" si="12"/>
        <v>0</v>
      </c>
      <c r="G88" s="260">
        <f t="shared" si="13"/>
        <v>0</v>
      </c>
      <c r="H88" s="260">
        <f t="shared" si="14"/>
        <v>0</v>
      </c>
      <c r="I88" s="260">
        <f t="shared" si="15"/>
        <v>0</v>
      </c>
      <c r="J88" s="260">
        <f t="shared" si="16"/>
        <v>0</v>
      </c>
      <c r="K88" s="260">
        <f t="shared" si="17"/>
        <v>0</v>
      </c>
      <c r="L88" s="260">
        <f t="shared" si="18"/>
        <v>0</v>
      </c>
      <c r="M88" s="260">
        <f t="shared" si="19"/>
        <v>0</v>
      </c>
      <c r="N88" s="260">
        <f t="shared" si="20"/>
        <v>0</v>
      </c>
      <c r="O88" s="260">
        <f t="shared" si="21"/>
        <v>0</v>
      </c>
      <c r="Q88" s="261">
        <f>Site1!E108</f>
        <v>0</v>
      </c>
      <c r="R88" s="261">
        <f>Site1!F108</f>
        <v>0</v>
      </c>
      <c r="S88" s="261">
        <f>Site1!G108</f>
        <v>0</v>
      </c>
      <c r="T88" s="261">
        <f>Site1!H108</f>
        <v>0</v>
      </c>
      <c r="U88" s="261">
        <f>Site1!I108</f>
        <v>0</v>
      </c>
      <c r="V88" s="261">
        <f>Site1!J108</f>
        <v>0</v>
      </c>
      <c r="W88" s="261">
        <f>Site1!K108</f>
        <v>0</v>
      </c>
      <c r="X88" s="261">
        <f>Site1!L108</f>
        <v>0</v>
      </c>
      <c r="Y88" s="261">
        <f>Site1!M108</f>
        <v>0</v>
      </c>
      <c r="Z88" s="261">
        <f>Site1!N108</f>
        <v>0</v>
      </c>
      <c r="AA88" s="261">
        <f>Site1!O108</f>
        <v>0</v>
      </c>
      <c r="AB88" s="261">
        <f>Site1!P108</f>
        <v>0</v>
      </c>
      <c r="AD88" s="261">
        <f>Site2!E108</f>
        <v>0</v>
      </c>
      <c r="AE88" s="261">
        <f>Site2!F108</f>
        <v>0</v>
      </c>
      <c r="AF88" s="261">
        <f>Site2!G108</f>
        <v>0</v>
      </c>
      <c r="AG88" s="261">
        <f>Site2!H108</f>
        <v>0</v>
      </c>
      <c r="AH88" s="261">
        <f>Site2!I108</f>
        <v>0</v>
      </c>
      <c r="AI88" s="261">
        <f>Site2!J108</f>
        <v>0</v>
      </c>
      <c r="AJ88" s="261">
        <f>Site2!K108</f>
        <v>0</v>
      </c>
      <c r="AK88" s="261">
        <f>Site2!L108</f>
        <v>0</v>
      </c>
      <c r="AL88" s="261">
        <f>Site2!M108</f>
        <v>0</v>
      </c>
      <c r="AM88" s="261">
        <f>Site2!N108</f>
        <v>0</v>
      </c>
      <c r="AN88" s="261">
        <f>Site2!O108</f>
        <v>0</v>
      </c>
      <c r="AO88" s="261">
        <f>Site2!P108</f>
        <v>0</v>
      </c>
      <c r="AQ88" s="261">
        <f>Site3!E108</f>
        <v>0</v>
      </c>
      <c r="AR88" s="261">
        <f>Site3!F108</f>
        <v>0</v>
      </c>
      <c r="AS88" s="261">
        <f>Site3!G108</f>
        <v>0</v>
      </c>
      <c r="AT88" s="261">
        <f>Site3!H108</f>
        <v>0</v>
      </c>
      <c r="AU88" s="261">
        <f>Site3!I108</f>
        <v>0</v>
      </c>
      <c r="AV88" s="261">
        <f>Site3!J108</f>
        <v>0</v>
      </c>
      <c r="AW88" s="261">
        <f>Site3!K108</f>
        <v>0</v>
      </c>
      <c r="AX88" s="261">
        <f>Site3!L108</f>
        <v>0</v>
      </c>
      <c r="AY88" s="261">
        <f>Site3!M108</f>
        <v>0</v>
      </c>
      <c r="AZ88" s="261">
        <f>Site3!N108</f>
        <v>0</v>
      </c>
      <c r="BA88" s="261">
        <f>Site3!O108</f>
        <v>0</v>
      </c>
      <c r="BB88" s="261">
        <f>Site3!P108</f>
        <v>0</v>
      </c>
      <c r="BD88" s="261">
        <f>Site4!E108</f>
        <v>0</v>
      </c>
      <c r="BE88" s="261">
        <f>Site4!F108</f>
        <v>0</v>
      </c>
      <c r="BF88" s="261">
        <f>Site4!G108</f>
        <v>0</v>
      </c>
      <c r="BG88" s="261">
        <f>Site4!H108</f>
        <v>0</v>
      </c>
      <c r="BH88" s="261">
        <f>Site4!I108</f>
        <v>0</v>
      </c>
      <c r="BI88" s="261">
        <f>Site4!J108</f>
        <v>0</v>
      </c>
      <c r="BJ88" s="261">
        <f>Site4!K108</f>
        <v>0</v>
      </c>
      <c r="BK88" s="261">
        <f>Site4!L108</f>
        <v>0</v>
      </c>
      <c r="BL88" s="261">
        <f>Site4!M108</f>
        <v>0</v>
      </c>
      <c r="BM88" s="261">
        <f>Site4!N108</f>
        <v>0</v>
      </c>
      <c r="BN88" s="261">
        <f>Site4!O108</f>
        <v>0</v>
      </c>
      <c r="BO88" s="261">
        <f>Site4!P108</f>
        <v>0</v>
      </c>
      <c r="BQ88" s="261">
        <f>Site5!E108</f>
        <v>6000</v>
      </c>
      <c r="BR88" s="261">
        <f>Site5!F108</f>
        <v>0</v>
      </c>
      <c r="BS88" s="261">
        <f>Site5!G108</f>
        <v>0</v>
      </c>
      <c r="BT88" s="261">
        <f>Site5!H108</f>
        <v>0</v>
      </c>
      <c r="BU88" s="261">
        <f>Site5!I108</f>
        <v>0</v>
      </c>
      <c r="BV88" s="261">
        <f>Site5!J108</f>
        <v>0</v>
      </c>
      <c r="BW88" s="261">
        <f>Site5!K108</f>
        <v>0</v>
      </c>
      <c r="BX88" s="261">
        <f>Site5!L108</f>
        <v>0</v>
      </c>
      <c r="BY88" s="261">
        <f>Site5!M108</f>
        <v>0</v>
      </c>
      <c r="BZ88" s="261">
        <f>Site5!N108</f>
        <v>0</v>
      </c>
      <c r="CA88" s="261">
        <f>Site5!O108</f>
        <v>0</v>
      </c>
      <c r="CB88" s="261">
        <f>Site5!P108</f>
        <v>0</v>
      </c>
      <c r="CD88" s="261">
        <f>Site6!E108</f>
        <v>0</v>
      </c>
      <c r="CE88" s="261">
        <f>Site6!F108</f>
        <v>0</v>
      </c>
      <c r="CF88" s="261">
        <f>Site6!G108</f>
        <v>0</v>
      </c>
      <c r="CG88" s="261">
        <f>Site6!H108</f>
        <v>0</v>
      </c>
      <c r="CH88" s="261">
        <f>Site6!I108</f>
        <v>0</v>
      </c>
      <c r="CI88" s="261">
        <f>Site6!J108</f>
        <v>0</v>
      </c>
      <c r="CJ88" s="261">
        <f>Site6!K108</f>
        <v>0</v>
      </c>
      <c r="CK88" s="261">
        <f>Site6!L108</f>
        <v>0</v>
      </c>
      <c r="CL88" s="261">
        <f>Site6!M108</f>
        <v>0</v>
      </c>
      <c r="CM88" s="261">
        <f>Site6!N108</f>
        <v>0</v>
      </c>
      <c r="CN88" s="261">
        <f>Site6!O108</f>
        <v>0</v>
      </c>
      <c r="CO88" s="261">
        <f>Site6!P108</f>
        <v>0</v>
      </c>
    </row>
    <row r="89" spans="1:107" s="30" customFormat="1" x14ac:dyDescent="0.25">
      <c r="A89" s="284">
        <v>350</v>
      </c>
      <c r="B89" s="276" t="s">
        <v>493</v>
      </c>
      <c r="D89" s="278">
        <f t="shared" si="22"/>
        <v>6500</v>
      </c>
      <c r="E89" s="278">
        <f t="shared" si="11"/>
        <v>2500</v>
      </c>
      <c r="F89" s="278">
        <f t="shared" si="12"/>
        <v>2500</v>
      </c>
      <c r="G89" s="278">
        <f t="shared" si="13"/>
        <v>2500</v>
      </c>
      <c r="H89" s="278">
        <f t="shared" si="14"/>
        <v>2500</v>
      </c>
      <c r="I89" s="278">
        <f t="shared" si="15"/>
        <v>2500</v>
      </c>
      <c r="J89" s="278">
        <f t="shared" si="16"/>
        <v>2500</v>
      </c>
      <c r="K89" s="278">
        <f t="shared" si="17"/>
        <v>2500</v>
      </c>
      <c r="L89" s="278">
        <f t="shared" si="18"/>
        <v>2500</v>
      </c>
      <c r="M89" s="278">
        <f t="shared" si="19"/>
        <v>2500</v>
      </c>
      <c r="N89" s="278">
        <f t="shared" si="20"/>
        <v>2500</v>
      </c>
      <c r="O89" s="278">
        <f t="shared" si="21"/>
        <v>2500</v>
      </c>
      <c r="Q89" s="287">
        <f>Site1!E109</f>
        <v>0</v>
      </c>
      <c r="R89" s="287">
        <f>Site1!F109</f>
        <v>0</v>
      </c>
      <c r="S89" s="287">
        <f>Site1!G109</f>
        <v>0</v>
      </c>
      <c r="T89" s="287">
        <f>Site1!H109</f>
        <v>0</v>
      </c>
      <c r="U89" s="287">
        <f>Site1!I109</f>
        <v>0</v>
      </c>
      <c r="V89" s="287">
        <f>Site1!J109</f>
        <v>0</v>
      </c>
      <c r="W89" s="287">
        <f>Site1!K109</f>
        <v>0</v>
      </c>
      <c r="X89" s="287">
        <f>Site1!L109</f>
        <v>0</v>
      </c>
      <c r="Y89" s="287">
        <f>Site1!M109</f>
        <v>0</v>
      </c>
      <c r="Z89" s="287">
        <f>Site1!N109</f>
        <v>0</v>
      </c>
      <c r="AA89" s="287">
        <f>Site1!O109</f>
        <v>0</v>
      </c>
      <c r="AB89" s="287">
        <f>Site1!P109</f>
        <v>0</v>
      </c>
      <c r="AD89" s="287">
        <f>Site2!E109</f>
        <v>0</v>
      </c>
      <c r="AE89" s="287">
        <f>Site2!F109</f>
        <v>0</v>
      </c>
      <c r="AF89" s="287">
        <f>Site2!G109</f>
        <v>0</v>
      </c>
      <c r="AG89" s="287">
        <f>Site2!H109</f>
        <v>0</v>
      </c>
      <c r="AH89" s="287">
        <f>Site2!I109</f>
        <v>0</v>
      </c>
      <c r="AI89" s="287">
        <f>Site2!J109</f>
        <v>0</v>
      </c>
      <c r="AJ89" s="287">
        <f>Site2!K109</f>
        <v>0</v>
      </c>
      <c r="AK89" s="287">
        <f>Site2!L109</f>
        <v>0</v>
      </c>
      <c r="AL89" s="287">
        <f>Site2!M109</f>
        <v>0</v>
      </c>
      <c r="AM89" s="287">
        <f>Site2!N109</f>
        <v>0</v>
      </c>
      <c r="AN89" s="287">
        <f>Site2!O109</f>
        <v>0</v>
      </c>
      <c r="AO89" s="287">
        <f>Site2!P109</f>
        <v>0</v>
      </c>
      <c r="AQ89" s="287">
        <f>Site3!E109</f>
        <v>2500</v>
      </c>
      <c r="AR89" s="287">
        <f>Site3!F109</f>
        <v>2500</v>
      </c>
      <c r="AS89" s="287">
        <f>Site3!G109</f>
        <v>2500</v>
      </c>
      <c r="AT89" s="287">
        <f>Site3!H109</f>
        <v>2500</v>
      </c>
      <c r="AU89" s="287">
        <f>Site3!I109</f>
        <v>2500</v>
      </c>
      <c r="AV89" s="287">
        <f>Site3!J109</f>
        <v>2500</v>
      </c>
      <c r="AW89" s="287">
        <f>Site3!K109</f>
        <v>2500</v>
      </c>
      <c r="AX89" s="287">
        <f>Site3!L109</f>
        <v>2500</v>
      </c>
      <c r="AY89" s="287">
        <f>Site3!M109</f>
        <v>2500</v>
      </c>
      <c r="AZ89" s="287">
        <f>Site3!N109</f>
        <v>2500</v>
      </c>
      <c r="BA89" s="287">
        <f>Site3!O109</f>
        <v>2500</v>
      </c>
      <c r="BB89" s="287">
        <f>Site3!P109</f>
        <v>2500</v>
      </c>
      <c r="BD89" s="287">
        <f>Site4!E109</f>
        <v>0</v>
      </c>
      <c r="BE89" s="287">
        <f>Site4!F109</f>
        <v>0</v>
      </c>
      <c r="BF89" s="287">
        <f>Site4!G109</f>
        <v>0</v>
      </c>
      <c r="BG89" s="287">
        <f>Site4!H109</f>
        <v>0</v>
      </c>
      <c r="BH89" s="287">
        <f>Site4!I109</f>
        <v>0</v>
      </c>
      <c r="BI89" s="287">
        <f>Site4!J109</f>
        <v>0</v>
      </c>
      <c r="BJ89" s="287">
        <f>Site4!K109</f>
        <v>0</v>
      </c>
      <c r="BK89" s="287">
        <f>Site4!L109</f>
        <v>0</v>
      </c>
      <c r="BL89" s="287">
        <f>Site4!M109</f>
        <v>0</v>
      </c>
      <c r="BM89" s="287">
        <f>Site4!N109</f>
        <v>0</v>
      </c>
      <c r="BN89" s="287">
        <f>Site4!O109</f>
        <v>0</v>
      </c>
      <c r="BO89" s="287">
        <f>Site4!P109</f>
        <v>0</v>
      </c>
      <c r="BQ89" s="287">
        <f>Site5!E109</f>
        <v>4000</v>
      </c>
      <c r="BR89" s="287">
        <f>Site5!F109</f>
        <v>0</v>
      </c>
      <c r="BS89" s="287">
        <f>Site5!G109</f>
        <v>0</v>
      </c>
      <c r="BT89" s="287">
        <f>Site5!H109</f>
        <v>0</v>
      </c>
      <c r="BU89" s="287">
        <f>Site5!I109</f>
        <v>0</v>
      </c>
      <c r="BV89" s="287">
        <f>Site5!J109</f>
        <v>0</v>
      </c>
      <c r="BW89" s="287">
        <f>Site5!K109</f>
        <v>0</v>
      </c>
      <c r="BX89" s="287">
        <f>Site5!L109</f>
        <v>0</v>
      </c>
      <c r="BY89" s="287">
        <f>Site5!M109</f>
        <v>0</v>
      </c>
      <c r="BZ89" s="287">
        <f>Site5!N109</f>
        <v>0</v>
      </c>
      <c r="CA89" s="287">
        <f>Site5!O109</f>
        <v>0</v>
      </c>
      <c r="CB89" s="287">
        <f>Site5!P109</f>
        <v>0</v>
      </c>
      <c r="CD89" s="287">
        <f>Site6!E109</f>
        <v>0</v>
      </c>
      <c r="CE89" s="287">
        <f>Site6!F109</f>
        <v>0</v>
      </c>
      <c r="CF89" s="287">
        <f>Site6!G109</f>
        <v>0</v>
      </c>
      <c r="CG89" s="287">
        <f>Site6!H109</f>
        <v>0</v>
      </c>
      <c r="CH89" s="287">
        <f>Site6!I109</f>
        <v>0</v>
      </c>
      <c r="CI89" s="287">
        <f>Site6!J109</f>
        <v>0</v>
      </c>
      <c r="CJ89" s="287">
        <f>Site6!K109</f>
        <v>0</v>
      </c>
      <c r="CK89" s="287">
        <f>Site6!L109</f>
        <v>0</v>
      </c>
      <c r="CL89" s="287">
        <f>Site6!M109</f>
        <v>0</v>
      </c>
      <c r="CM89" s="287">
        <f>Site6!N109</f>
        <v>0</v>
      </c>
      <c r="CN89" s="287">
        <f>Site6!O109</f>
        <v>0</v>
      </c>
      <c r="CO89" s="287">
        <f>Site6!P109</f>
        <v>0</v>
      </c>
    </row>
    <row r="90" spans="1:107" hidden="1" outlineLevel="1" x14ac:dyDescent="0.25">
      <c r="A90" s="100">
        <v>6351</v>
      </c>
      <c r="B90" s="18" t="s">
        <v>487</v>
      </c>
      <c r="D90" s="154">
        <f t="shared" si="22"/>
        <v>0</v>
      </c>
      <c r="E90" s="154">
        <f t="shared" si="11"/>
        <v>0</v>
      </c>
      <c r="F90" s="154">
        <f t="shared" si="12"/>
        <v>0</v>
      </c>
      <c r="G90" s="154">
        <f t="shared" si="13"/>
        <v>0</v>
      </c>
      <c r="H90" s="154">
        <f t="shared" si="14"/>
        <v>0</v>
      </c>
      <c r="I90" s="154">
        <f t="shared" si="15"/>
        <v>0</v>
      </c>
      <c r="J90" s="154">
        <f t="shared" si="16"/>
        <v>0</v>
      </c>
      <c r="K90" s="154">
        <f t="shared" si="17"/>
        <v>0</v>
      </c>
      <c r="L90" s="154">
        <f t="shared" si="18"/>
        <v>0</v>
      </c>
      <c r="M90" s="154">
        <f t="shared" si="19"/>
        <v>0</v>
      </c>
      <c r="N90" s="154">
        <f t="shared" si="20"/>
        <v>0</v>
      </c>
      <c r="O90" s="154">
        <f t="shared" si="21"/>
        <v>0</v>
      </c>
      <c r="Q90" s="6">
        <f>Site1!E110</f>
        <v>0</v>
      </c>
      <c r="R90" s="6">
        <f>Site1!F110</f>
        <v>0</v>
      </c>
      <c r="S90" s="6">
        <f>Site1!G110</f>
        <v>0</v>
      </c>
      <c r="T90" s="6">
        <f>Site1!H110</f>
        <v>0</v>
      </c>
      <c r="U90" s="6">
        <f>Site1!I110</f>
        <v>0</v>
      </c>
      <c r="V90" s="6">
        <f>Site1!J110</f>
        <v>0</v>
      </c>
      <c r="W90" s="6">
        <f>Site1!K110</f>
        <v>0</v>
      </c>
      <c r="X90" s="6">
        <f>Site1!L110</f>
        <v>0</v>
      </c>
      <c r="Y90" s="6">
        <f>Site1!M110</f>
        <v>0</v>
      </c>
      <c r="Z90" s="6">
        <f>Site1!N110</f>
        <v>0</v>
      </c>
      <c r="AA90" s="6">
        <f>Site1!O110</f>
        <v>0</v>
      </c>
      <c r="AB90" s="6">
        <f>Site1!P110</f>
        <v>0</v>
      </c>
      <c r="AD90" s="6">
        <f>Site2!E110</f>
        <v>0</v>
      </c>
      <c r="AE90" s="6">
        <f>Site2!F110</f>
        <v>0</v>
      </c>
      <c r="AF90" s="6">
        <f>Site2!G110</f>
        <v>0</v>
      </c>
      <c r="AG90" s="6">
        <f>Site2!H110</f>
        <v>0</v>
      </c>
      <c r="AH90" s="6">
        <f>Site2!I110</f>
        <v>0</v>
      </c>
      <c r="AI90" s="6">
        <f>Site2!J110</f>
        <v>0</v>
      </c>
      <c r="AJ90" s="6">
        <f>Site2!K110</f>
        <v>0</v>
      </c>
      <c r="AK90" s="6">
        <f>Site2!L110</f>
        <v>0</v>
      </c>
      <c r="AL90" s="6">
        <f>Site2!M110</f>
        <v>0</v>
      </c>
      <c r="AM90" s="6">
        <f>Site2!N110</f>
        <v>0</v>
      </c>
      <c r="AN90" s="6">
        <f>Site2!O110</f>
        <v>0</v>
      </c>
      <c r="AO90" s="6">
        <f>Site2!P110</f>
        <v>0</v>
      </c>
      <c r="AQ90" s="6">
        <f>Site3!E110</f>
        <v>0</v>
      </c>
      <c r="AR90" s="6">
        <f>Site3!F110</f>
        <v>0</v>
      </c>
      <c r="AS90" s="6">
        <f>Site3!G110</f>
        <v>0</v>
      </c>
      <c r="AT90" s="6">
        <f>Site3!H110</f>
        <v>0</v>
      </c>
      <c r="AU90" s="6">
        <f>Site3!I110</f>
        <v>0</v>
      </c>
      <c r="AV90" s="6">
        <f>Site3!J110</f>
        <v>0</v>
      </c>
      <c r="AW90" s="6">
        <f>Site3!K110</f>
        <v>0</v>
      </c>
      <c r="AX90" s="6">
        <f>Site3!L110</f>
        <v>0</v>
      </c>
      <c r="AY90" s="6">
        <f>Site3!M110</f>
        <v>0</v>
      </c>
      <c r="AZ90" s="6">
        <f>Site3!N110</f>
        <v>0</v>
      </c>
      <c r="BA90" s="6">
        <f>Site3!O110</f>
        <v>0</v>
      </c>
      <c r="BB90" s="6">
        <f>Site3!P110</f>
        <v>0</v>
      </c>
      <c r="BD90" s="6">
        <f>Site4!E110</f>
        <v>0</v>
      </c>
      <c r="BE90" s="6">
        <f>Site4!F110</f>
        <v>0</v>
      </c>
      <c r="BF90" s="6">
        <f>Site4!G110</f>
        <v>0</v>
      </c>
      <c r="BG90" s="6">
        <f>Site4!H110</f>
        <v>0</v>
      </c>
      <c r="BH90" s="6">
        <f>Site4!I110</f>
        <v>0</v>
      </c>
      <c r="BI90" s="6">
        <f>Site4!J110</f>
        <v>0</v>
      </c>
      <c r="BJ90" s="6">
        <f>Site4!K110</f>
        <v>0</v>
      </c>
      <c r="BK90" s="6">
        <f>Site4!L110</f>
        <v>0</v>
      </c>
      <c r="BL90" s="6">
        <f>Site4!M110</f>
        <v>0</v>
      </c>
      <c r="BM90" s="6">
        <f>Site4!N110</f>
        <v>0</v>
      </c>
      <c r="BN90" s="6">
        <f>Site4!O110</f>
        <v>0</v>
      </c>
      <c r="BO90" s="6">
        <f>Site4!P110</f>
        <v>0</v>
      </c>
      <c r="BQ90" s="6">
        <f>Site5!E110</f>
        <v>0</v>
      </c>
      <c r="BR90" s="6">
        <f>Site5!F110</f>
        <v>0</v>
      </c>
      <c r="BS90" s="6">
        <f>Site5!G110</f>
        <v>0</v>
      </c>
      <c r="BT90" s="6">
        <f>Site5!H110</f>
        <v>0</v>
      </c>
      <c r="BU90" s="6">
        <f>Site5!I110</f>
        <v>0</v>
      </c>
      <c r="BV90" s="6">
        <f>Site5!J110</f>
        <v>0</v>
      </c>
      <c r="BW90" s="6">
        <f>Site5!K110</f>
        <v>0</v>
      </c>
      <c r="BX90" s="6">
        <f>Site5!L110</f>
        <v>0</v>
      </c>
      <c r="BY90" s="6">
        <f>Site5!M110</f>
        <v>0</v>
      </c>
      <c r="BZ90" s="6">
        <f>Site5!N110</f>
        <v>0</v>
      </c>
      <c r="CA90" s="6">
        <f>Site5!O110</f>
        <v>0</v>
      </c>
      <c r="CB90" s="6">
        <f>Site5!P110</f>
        <v>0</v>
      </c>
      <c r="CD90" s="6">
        <f>Site6!E110</f>
        <v>0</v>
      </c>
      <c r="CE90" s="6">
        <f>Site6!F110</f>
        <v>0</v>
      </c>
      <c r="CF90" s="6">
        <f>Site6!G110</f>
        <v>0</v>
      </c>
      <c r="CG90" s="6">
        <f>Site6!H110</f>
        <v>0</v>
      </c>
      <c r="CH90" s="6">
        <f>Site6!I110</f>
        <v>0</v>
      </c>
      <c r="CI90" s="6">
        <f>Site6!J110</f>
        <v>0</v>
      </c>
      <c r="CJ90" s="6">
        <f>Site6!K110</f>
        <v>0</v>
      </c>
      <c r="CK90" s="6">
        <f>Site6!L110</f>
        <v>0</v>
      </c>
      <c r="CL90" s="6">
        <f>Site6!M110</f>
        <v>0</v>
      </c>
      <c r="CM90" s="6">
        <f>Site6!N110</f>
        <v>0</v>
      </c>
      <c r="CN90" s="6">
        <f>Site6!O110</f>
        <v>0</v>
      </c>
      <c r="CO90" s="6">
        <f>Site6!P110</f>
        <v>0</v>
      </c>
    </row>
    <row r="91" spans="1:107" hidden="1" outlineLevel="1" x14ac:dyDescent="0.25">
      <c r="A91" s="100">
        <v>6351</v>
      </c>
      <c r="B91" s="18" t="s">
        <v>441</v>
      </c>
      <c r="D91" s="154">
        <f t="shared" si="22"/>
        <v>26500</v>
      </c>
      <c r="E91" s="154">
        <f t="shared" si="11"/>
        <v>26163</v>
      </c>
      <c r="F91" s="154">
        <f t="shared" si="12"/>
        <v>31200</v>
      </c>
      <c r="G91" s="154">
        <f t="shared" si="13"/>
        <v>34026</v>
      </c>
      <c r="H91" s="154">
        <f t="shared" si="14"/>
        <v>36288</v>
      </c>
      <c r="I91" s="154">
        <f t="shared" si="15"/>
        <v>38280</v>
      </c>
      <c r="J91" s="154">
        <f t="shared" si="16"/>
        <v>40388</v>
      </c>
      <c r="K91" s="154">
        <f t="shared" si="17"/>
        <v>42546</v>
      </c>
      <c r="L91" s="154">
        <f t="shared" si="18"/>
        <v>44927</v>
      </c>
      <c r="M91" s="154">
        <f t="shared" si="19"/>
        <v>47366</v>
      </c>
      <c r="N91" s="154">
        <f t="shared" si="20"/>
        <v>49932</v>
      </c>
      <c r="O91" s="154">
        <f t="shared" si="21"/>
        <v>52631</v>
      </c>
      <c r="Q91" s="6">
        <f>Site1!E111</f>
        <v>9000</v>
      </c>
      <c r="R91" s="6">
        <f>Site1!F111</f>
        <v>9364</v>
      </c>
      <c r="S91" s="6">
        <f>Site1!G111</f>
        <v>9734</v>
      </c>
      <c r="T91" s="6">
        <f>Site1!H111</f>
        <v>10112</v>
      </c>
      <c r="U91" s="6">
        <f>Site1!I111</f>
        <v>10498</v>
      </c>
      <c r="V91" s="6">
        <f>Site1!J111</f>
        <v>10890</v>
      </c>
      <c r="W91" s="6">
        <f>Site1!K111</f>
        <v>11323</v>
      </c>
      <c r="X91" s="6">
        <f>Site1!L111</f>
        <v>11765</v>
      </c>
      <c r="Y91" s="6">
        <f>Site1!M111</f>
        <v>12215</v>
      </c>
      <c r="Z91" s="6">
        <f>Site1!N111</f>
        <v>12673</v>
      </c>
      <c r="AA91" s="6">
        <f>Site1!O111</f>
        <v>13140</v>
      </c>
      <c r="AB91" s="6">
        <f>Site1!P111</f>
        <v>13615</v>
      </c>
      <c r="AD91" s="6">
        <f>Site2!E111</f>
        <v>6000</v>
      </c>
      <c r="AE91" s="6">
        <f>Site2!F111</f>
        <v>6242</v>
      </c>
      <c r="AF91" s="6">
        <f>Site2!G111</f>
        <v>6490</v>
      </c>
      <c r="AG91" s="6">
        <f>Site2!H111</f>
        <v>6742</v>
      </c>
      <c r="AH91" s="6">
        <f>Site2!I111</f>
        <v>6998</v>
      </c>
      <c r="AI91" s="6">
        <f>Site2!J111</f>
        <v>7260</v>
      </c>
      <c r="AJ91" s="6">
        <f>Site2!K111</f>
        <v>7526</v>
      </c>
      <c r="AK91" s="6">
        <f>Site2!L111</f>
        <v>7798</v>
      </c>
      <c r="AL91" s="6">
        <f>Site2!M111</f>
        <v>8108</v>
      </c>
      <c r="AM91" s="6">
        <f>Site2!N111</f>
        <v>8425</v>
      </c>
      <c r="AN91" s="6">
        <f>Site2!O111</f>
        <v>8748</v>
      </c>
      <c r="AO91" s="6">
        <f>Site2!P111</f>
        <v>9077</v>
      </c>
      <c r="AQ91" s="6">
        <f>Site3!E111</f>
        <v>2550</v>
      </c>
      <c r="AR91" s="6">
        <f>Site3!F111</f>
        <v>3366</v>
      </c>
      <c r="AS91" s="6">
        <f>Site3!G111</f>
        <v>3744</v>
      </c>
      <c r="AT91" s="6">
        <f>Site3!H111</f>
        <v>4007</v>
      </c>
      <c r="AU91" s="6">
        <f>Site3!I111</f>
        <v>4277</v>
      </c>
      <c r="AV91" s="6">
        <f>Site3!J111</f>
        <v>4587</v>
      </c>
      <c r="AW91" s="6">
        <f>Site3!K111</f>
        <v>4906</v>
      </c>
      <c r="AX91" s="6">
        <f>Site3!L111</f>
        <v>5233</v>
      </c>
      <c r="AY91" s="6">
        <f>Site3!M111</f>
        <v>5603</v>
      </c>
      <c r="AZ91" s="6">
        <f>Site3!N111</f>
        <v>5983</v>
      </c>
      <c r="BA91" s="6">
        <f>Site3!O111</f>
        <v>6372</v>
      </c>
      <c r="BB91" s="6">
        <f>Site3!P111</f>
        <v>6808</v>
      </c>
      <c r="BD91" s="6">
        <f>Site4!E111</f>
        <v>2700</v>
      </c>
      <c r="BE91" s="6">
        <f>Site4!F111</f>
        <v>3978</v>
      </c>
      <c r="BF91" s="6">
        <f>Site4!G111</f>
        <v>4680</v>
      </c>
      <c r="BG91" s="6">
        <f>Site4!H111</f>
        <v>5024</v>
      </c>
      <c r="BH91" s="6">
        <f>Site4!I111</f>
        <v>5378</v>
      </c>
      <c r="BI91" s="6">
        <f>Site4!J111</f>
        <v>5742</v>
      </c>
      <c r="BJ91" s="6">
        <f>Site4!K111</f>
        <v>6149</v>
      </c>
      <c r="BK91" s="6">
        <f>Site4!L111</f>
        <v>6566</v>
      </c>
      <c r="BL91" s="6">
        <f>Site4!M111</f>
        <v>7030</v>
      </c>
      <c r="BM91" s="6">
        <f>Site4!N111</f>
        <v>7505</v>
      </c>
      <c r="BN91" s="6">
        <f>Site4!O111</f>
        <v>8028</v>
      </c>
      <c r="BO91" s="6">
        <f>Site4!P111</f>
        <v>8564</v>
      </c>
      <c r="BQ91" s="6">
        <f>Site5!E111</f>
        <v>6250</v>
      </c>
      <c r="BR91" s="6">
        <f>Site5!F111</f>
        <v>3213</v>
      </c>
      <c r="BS91" s="6">
        <f>Site5!G111</f>
        <v>3744</v>
      </c>
      <c r="BT91" s="6">
        <f>Site5!H111</f>
        <v>4007</v>
      </c>
      <c r="BU91" s="6">
        <f>Site5!I111</f>
        <v>4277</v>
      </c>
      <c r="BV91" s="6">
        <f>Site5!J111</f>
        <v>4587</v>
      </c>
      <c r="BW91" s="6">
        <f>Site5!K111</f>
        <v>4906</v>
      </c>
      <c r="BX91" s="6">
        <f>Site5!L111</f>
        <v>5233</v>
      </c>
      <c r="BY91" s="6">
        <f>Site5!M111</f>
        <v>5603</v>
      </c>
      <c r="BZ91" s="6">
        <f>Site5!N111</f>
        <v>5983</v>
      </c>
      <c r="CA91" s="6">
        <f>Site5!O111</f>
        <v>6372</v>
      </c>
      <c r="CB91" s="6">
        <f>Site5!P111</f>
        <v>6808</v>
      </c>
      <c r="CD91" s="6">
        <f>Site6!E111</f>
        <v>0</v>
      </c>
      <c r="CE91" s="6">
        <f>Site6!F111</f>
        <v>0</v>
      </c>
      <c r="CF91" s="6">
        <f>Site6!G111</f>
        <v>2808</v>
      </c>
      <c r="CG91" s="6">
        <f>Site6!H111</f>
        <v>4134</v>
      </c>
      <c r="CH91" s="6">
        <f>Site6!I111</f>
        <v>4860</v>
      </c>
      <c r="CI91" s="6">
        <f>Site6!J111</f>
        <v>5214</v>
      </c>
      <c r="CJ91" s="6">
        <f>Site6!K111</f>
        <v>5578</v>
      </c>
      <c r="CK91" s="6">
        <f>Site6!L111</f>
        <v>5951</v>
      </c>
      <c r="CL91" s="6">
        <f>Site6!M111</f>
        <v>6368</v>
      </c>
      <c r="CM91" s="6">
        <f>Site6!N111</f>
        <v>6797</v>
      </c>
      <c r="CN91" s="6">
        <f>Site6!O111</f>
        <v>7272</v>
      </c>
      <c r="CO91" s="6">
        <f>Site6!P111</f>
        <v>7759</v>
      </c>
    </row>
    <row r="92" spans="1:107" hidden="1" outlineLevel="1" x14ac:dyDescent="0.25">
      <c r="A92" s="100">
        <v>6351</v>
      </c>
      <c r="B92" s="18" t="s">
        <v>442</v>
      </c>
      <c r="D92" s="154">
        <f t="shared" si="22"/>
        <v>5250</v>
      </c>
      <c r="E92" s="154">
        <f t="shared" si="11"/>
        <v>6105</v>
      </c>
      <c r="F92" s="154">
        <f t="shared" si="12"/>
        <v>7280</v>
      </c>
      <c r="G92" s="154">
        <f t="shared" si="13"/>
        <v>7940</v>
      </c>
      <c r="H92" s="154">
        <f t="shared" si="14"/>
        <v>8467</v>
      </c>
      <c r="I92" s="154">
        <f t="shared" si="15"/>
        <v>8932</v>
      </c>
      <c r="J92" s="154">
        <f t="shared" si="16"/>
        <v>9424</v>
      </c>
      <c r="K92" s="154">
        <f t="shared" si="17"/>
        <v>9927</v>
      </c>
      <c r="L92" s="154">
        <f t="shared" si="18"/>
        <v>10482</v>
      </c>
      <c r="M92" s="154">
        <f t="shared" si="19"/>
        <v>11052</v>
      </c>
      <c r="N92" s="154">
        <f t="shared" si="20"/>
        <v>11651</v>
      </c>
      <c r="O92" s="154">
        <f t="shared" si="21"/>
        <v>12279</v>
      </c>
      <c r="Q92" s="6">
        <f>Site1!E112</f>
        <v>2100</v>
      </c>
      <c r="R92" s="6">
        <f>Site1!F112</f>
        <v>2185</v>
      </c>
      <c r="S92" s="6">
        <f>Site1!G112</f>
        <v>2271</v>
      </c>
      <c r="T92" s="6">
        <f>Site1!H112</f>
        <v>2360</v>
      </c>
      <c r="U92" s="6">
        <f>Site1!I112</f>
        <v>2449</v>
      </c>
      <c r="V92" s="6">
        <f>Site1!J112</f>
        <v>2541</v>
      </c>
      <c r="W92" s="6">
        <f>Site1!K112</f>
        <v>2642</v>
      </c>
      <c r="X92" s="6">
        <f>Site1!L112</f>
        <v>2745</v>
      </c>
      <c r="Y92" s="6">
        <f>Site1!M112</f>
        <v>2850</v>
      </c>
      <c r="Z92" s="6">
        <f>Site1!N112</f>
        <v>2957</v>
      </c>
      <c r="AA92" s="6">
        <f>Site1!O112</f>
        <v>3066</v>
      </c>
      <c r="AB92" s="6">
        <f>Site1!P112</f>
        <v>3177</v>
      </c>
      <c r="AD92" s="6">
        <f>Site2!E112</f>
        <v>1400</v>
      </c>
      <c r="AE92" s="6">
        <f>Site2!F112</f>
        <v>1457</v>
      </c>
      <c r="AF92" s="6">
        <f>Site2!G112</f>
        <v>1514</v>
      </c>
      <c r="AG92" s="6">
        <f>Site2!H112</f>
        <v>1573</v>
      </c>
      <c r="AH92" s="6">
        <f>Site2!I112</f>
        <v>1633</v>
      </c>
      <c r="AI92" s="6">
        <f>Site2!J112</f>
        <v>1694</v>
      </c>
      <c r="AJ92" s="6">
        <f>Site2!K112</f>
        <v>1756</v>
      </c>
      <c r="AK92" s="6">
        <f>Site2!L112</f>
        <v>1819</v>
      </c>
      <c r="AL92" s="6">
        <f>Site2!M112</f>
        <v>1892</v>
      </c>
      <c r="AM92" s="6">
        <f>Site2!N112</f>
        <v>1966</v>
      </c>
      <c r="AN92" s="6">
        <f>Site2!O112</f>
        <v>2041</v>
      </c>
      <c r="AO92" s="6">
        <f>Site2!P112</f>
        <v>2118</v>
      </c>
      <c r="AQ92" s="6">
        <f>Site3!E112</f>
        <v>595</v>
      </c>
      <c r="AR92" s="6">
        <f>Site3!F112</f>
        <v>785</v>
      </c>
      <c r="AS92" s="6">
        <f>Site3!G112</f>
        <v>874</v>
      </c>
      <c r="AT92" s="6">
        <f>Site3!H112</f>
        <v>935</v>
      </c>
      <c r="AU92" s="6">
        <f>Site3!I112</f>
        <v>998</v>
      </c>
      <c r="AV92" s="6">
        <f>Site3!J112</f>
        <v>1070</v>
      </c>
      <c r="AW92" s="6">
        <f>Site3!K112</f>
        <v>1145</v>
      </c>
      <c r="AX92" s="6">
        <f>Site3!L112</f>
        <v>1221</v>
      </c>
      <c r="AY92" s="6">
        <f>Site3!M112</f>
        <v>1307</v>
      </c>
      <c r="AZ92" s="6">
        <f>Site3!N112</f>
        <v>1396</v>
      </c>
      <c r="BA92" s="6">
        <f>Site3!O112</f>
        <v>1487</v>
      </c>
      <c r="BB92" s="6">
        <f>Site3!P112</f>
        <v>1588</v>
      </c>
      <c r="BD92" s="6">
        <f>Site4!E112</f>
        <v>630</v>
      </c>
      <c r="BE92" s="6">
        <f>Site4!F112</f>
        <v>928</v>
      </c>
      <c r="BF92" s="6">
        <f>Site4!G112</f>
        <v>1092</v>
      </c>
      <c r="BG92" s="6">
        <f>Site4!H112</f>
        <v>1172</v>
      </c>
      <c r="BH92" s="6">
        <f>Site4!I112</f>
        <v>1255</v>
      </c>
      <c r="BI92" s="6">
        <f>Site4!J112</f>
        <v>1340</v>
      </c>
      <c r="BJ92" s="6">
        <f>Site4!K112</f>
        <v>1435</v>
      </c>
      <c r="BK92" s="6">
        <f>Site4!L112</f>
        <v>1532</v>
      </c>
      <c r="BL92" s="6">
        <f>Site4!M112</f>
        <v>1640</v>
      </c>
      <c r="BM92" s="6">
        <f>Site4!N112</f>
        <v>1751</v>
      </c>
      <c r="BN92" s="6">
        <f>Site4!O112</f>
        <v>1873</v>
      </c>
      <c r="BO92" s="6">
        <f>Site4!P112</f>
        <v>1998</v>
      </c>
      <c r="BQ92" s="6">
        <f>Site5!E112</f>
        <v>525</v>
      </c>
      <c r="BR92" s="6">
        <f>Site5!F112</f>
        <v>750</v>
      </c>
      <c r="BS92" s="6">
        <f>Site5!G112</f>
        <v>874</v>
      </c>
      <c r="BT92" s="6">
        <f>Site5!H112</f>
        <v>935</v>
      </c>
      <c r="BU92" s="6">
        <f>Site5!I112</f>
        <v>998</v>
      </c>
      <c r="BV92" s="6">
        <f>Site5!J112</f>
        <v>1070</v>
      </c>
      <c r="BW92" s="6">
        <f>Site5!K112</f>
        <v>1145</v>
      </c>
      <c r="BX92" s="6">
        <f>Site5!L112</f>
        <v>1221</v>
      </c>
      <c r="BY92" s="6">
        <f>Site5!M112</f>
        <v>1307</v>
      </c>
      <c r="BZ92" s="6">
        <f>Site5!N112</f>
        <v>1396</v>
      </c>
      <c r="CA92" s="6">
        <f>Site5!O112</f>
        <v>1487</v>
      </c>
      <c r="CB92" s="6">
        <f>Site5!P112</f>
        <v>1588</v>
      </c>
      <c r="CD92" s="6">
        <f>Site6!E112</f>
        <v>0</v>
      </c>
      <c r="CE92" s="6">
        <f>Site6!F112</f>
        <v>0</v>
      </c>
      <c r="CF92" s="6">
        <f>Site6!G112</f>
        <v>655</v>
      </c>
      <c r="CG92" s="6">
        <f>Site6!H112</f>
        <v>965</v>
      </c>
      <c r="CH92" s="6">
        <f>Site6!I112</f>
        <v>1134</v>
      </c>
      <c r="CI92" s="6">
        <f>Site6!J112</f>
        <v>1217</v>
      </c>
      <c r="CJ92" s="6">
        <f>Site6!K112</f>
        <v>1301</v>
      </c>
      <c r="CK92" s="6">
        <f>Site6!L112</f>
        <v>1389</v>
      </c>
      <c r="CL92" s="6">
        <f>Site6!M112</f>
        <v>1486</v>
      </c>
      <c r="CM92" s="6">
        <f>Site6!N112</f>
        <v>1586</v>
      </c>
      <c r="CN92" s="6">
        <f>Site6!O112</f>
        <v>1697</v>
      </c>
      <c r="CO92" s="6">
        <f>Site6!P112</f>
        <v>1810</v>
      </c>
    </row>
    <row r="93" spans="1:107" hidden="1" outlineLevel="1" x14ac:dyDescent="0.25">
      <c r="A93" s="100">
        <v>6351</v>
      </c>
      <c r="B93" s="18" t="s">
        <v>763</v>
      </c>
      <c r="D93" s="154">
        <f t="shared" si="22"/>
        <v>7500</v>
      </c>
      <c r="E93" s="154">
        <f t="shared" si="11"/>
        <v>8721</v>
      </c>
      <c r="F93" s="154">
        <f t="shared" si="12"/>
        <v>10400</v>
      </c>
      <c r="G93" s="154">
        <f t="shared" si="13"/>
        <v>11343</v>
      </c>
      <c r="H93" s="154">
        <f t="shared" si="14"/>
        <v>12097</v>
      </c>
      <c r="I93" s="154">
        <f t="shared" si="15"/>
        <v>12760</v>
      </c>
      <c r="J93" s="154">
        <f t="shared" si="16"/>
        <v>13462</v>
      </c>
      <c r="K93" s="154">
        <f t="shared" si="17"/>
        <v>14182</v>
      </c>
      <c r="L93" s="154">
        <f t="shared" si="18"/>
        <v>14977</v>
      </c>
      <c r="M93" s="154">
        <f t="shared" si="19"/>
        <v>15788</v>
      </c>
      <c r="N93" s="154">
        <f t="shared" si="20"/>
        <v>16644</v>
      </c>
      <c r="O93" s="154">
        <f t="shared" si="21"/>
        <v>17543</v>
      </c>
      <c r="Q93" s="6">
        <f>Site1!E113</f>
        <v>3000</v>
      </c>
      <c r="R93" s="6">
        <f>Site1!F113</f>
        <v>3121</v>
      </c>
      <c r="S93" s="6">
        <f>Site1!G113</f>
        <v>3245</v>
      </c>
      <c r="T93" s="6">
        <f>Site1!H113</f>
        <v>3371</v>
      </c>
      <c r="U93" s="6">
        <f>Site1!I113</f>
        <v>3499</v>
      </c>
      <c r="V93" s="6">
        <f>Site1!J113</f>
        <v>3630</v>
      </c>
      <c r="W93" s="6">
        <f>Site1!K113</f>
        <v>3774</v>
      </c>
      <c r="X93" s="6">
        <f>Site1!L113</f>
        <v>3922</v>
      </c>
      <c r="Y93" s="6">
        <f>Site1!M113</f>
        <v>4072</v>
      </c>
      <c r="Z93" s="6">
        <f>Site1!N113</f>
        <v>4224</v>
      </c>
      <c r="AA93" s="6">
        <f>Site1!O113</f>
        <v>4380</v>
      </c>
      <c r="AB93" s="6">
        <f>Site1!P113</f>
        <v>4538</v>
      </c>
      <c r="AD93" s="6">
        <f>Site2!E113</f>
        <v>2000</v>
      </c>
      <c r="AE93" s="6">
        <f>Site2!F113</f>
        <v>2081</v>
      </c>
      <c r="AF93" s="6">
        <f>Site2!G113</f>
        <v>2163</v>
      </c>
      <c r="AG93" s="6">
        <f>Site2!H113</f>
        <v>2247</v>
      </c>
      <c r="AH93" s="6">
        <f>Site2!I113</f>
        <v>2333</v>
      </c>
      <c r="AI93" s="6">
        <f>Site2!J113</f>
        <v>2420</v>
      </c>
      <c r="AJ93" s="6">
        <f>Site2!K113</f>
        <v>2509</v>
      </c>
      <c r="AK93" s="6">
        <f>Site2!L113</f>
        <v>2599</v>
      </c>
      <c r="AL93" s="6">
        <f>Site2!M113</f>
        <v>2703</v>
      </c>
      <c r="AM93" s="6">
        <f>Site2!N113</f>
        <v>2808</v>
      </c>
      <c r="AN93" s="6">
        <f>Site2!O113</f>
        <v>2916</v>
      </c>
      <c r="AO93" s="6">
        <f>Site2!P113</f>
        <v>3026</v>
      </c>
      <c r="AQ93" s="6">
        <f>Site3!E113</f>
        <v>850</v>
      </c>
      <c r="AR93" s="6">
        <f>Site3!F113</f>
        <v>1122</v>
      </c>
      <c r="AS93" s="6">
        <f>Site3!G113</f>
        <v>1248</v>
      </c>
      <c r="AT93" s="6">
        <f>Site3!H113</f>
        <v>1336</v>
      </c>
      <c r="AU93" s="6">
        <f>Site3!I113</f>
        <v>1426</v>
      </c>
      <c r="AV93" s="6">
        <f>Site3!J113</f>
        <v>1529</v>
      </c>
      <c r="AW93" s="6">
        <f>Site3!K113</f>
        <v>1635</v>
      </c>
      <c r="AX93" s="6">
        <f>Site3!L113</f>
        <v>1744</v>
      </c>
      <c r="AY93" s="6">
        <f>Site3!M113</f>
        <v>1868</v>
      </c>
      <c r="AZ93" s="6">
        <f>Site3!N113</f>
        <v>1994</v>
      </c>
      <c r="BA93" s="6">
        <f>Site3!O113</f>
        <v>2124</v>
      </c>
      <c r="BB93" s="6">
        <f>Site3!P113</f>
        <v>2269</v>
      </c>
      <c r="BD93" s="6">
        <f>Site4!E113</f>
        <v>900</v>
      </c>
      <c r="BE93" s="6">
        <f>Site4!F113</f>
        <v>1326</v>
      </c>
      <c r="BF93" s="6">
        <f>Site4!G113</f>
        <v>1560</v>
      </c>
      <c r="BG93" s="6">
        <f>Site4!H113</f>
        <v>1675</v>
      </c>
      <c r="BH93" s="6">
        <f>Site4!I113</f>
        <v>1793</v>
      </c>
      <c r="BI93" s="6">
        <f>Site4!J113</f>
        <v>1914</v>
      </c>
      <c r="BJ93" s="6">
        <f>Site4!K113</f>
        <v>2050</v>
      </c>
      <c r="BK93" s="6">
        <f>Site4!L113</f>
        <v>2189</v>
      </c>
      <c r="BL93" s="6">
        <f>Site4!M113</f>
        <v>2343</v>
      </c>
      <c r="BM93" s="6">
        <f>Site4!N113</f>
        <v>2502</v>
      </c>
      <c r="BN93" s="6">
        <f>Site4!O113</f>
        <v>2676</v>
      </c>
      <c r="BO93" s="6">
        <f>Site4!P113</f>
        <v>2855</v>
      </c>
      <c r="BQ93" s="6">
        <f>Site5!E113</f>
        <v>750</v>
      </c>
      <c r="BR93" s="6">
        <f>Site5!F113</f>
        <v>1071</v>
      </c>
      <c r="BS93" s="6">
        <f>Site5!G113</f>
        <v>1248</v>
      </c>
      <c r="BT93" s="6">
        <f>Site5!H113</f>
        <v>1336</v>
      </c>
      <c r="BU93" s="6">
        <f>Site5!I113</f>
        <v>1426</v>
      </c>
      <c r="BV93" s="6">
        <f>Site5!J113</f>
        <v>1529</v>
      </c>
      <c r="BW93" s="6">
        <f>Site5!K113</f>
        <v>1635</v>
      </c>
      <c r="BX93" s="6">
        <f>Site5!L113</f>
        <v>1744</v>
      </c>
      <c r="BY93" s="6">
        <f>Site5!M113</f>
        <v>1868</v>
      </c>
      <c r="BZ93" s="6">
        <f>Site5!N113</f>
        <v>1994</v>
      </c>
      <c r="CA93" s="6">
        <f>Site5!O113</f>
        <v>2124</v>
      </c>
      <c r="CB93" s="6">
        <f>Site5!P113</f>
        <v>2269</v>
      </c>
      <c r="CD93" s="6">
        <f>Site6!E113</f>
        <v>0</v>
      </c>
      <c r="CE93" s="6">
        <f>Site6!F113</f>
        <v>0</v>
      </c>
      <c r="CF93" s="6">
        <f>Site6!G113</f>
        <v>936</v>
      </c>
      <c r="CG93" s="6">
        <f>Site6!H113</f>
        <v>1378</v>
      </c>
      <c r="CH93" s="6">
        <f>Site6!I113</f>
        <v>1620</v>
      </c>
      <c r="CI93" s="6">
        <f>Site6!J113</f>
        <v>1738</v>
      </c>
      <c r="CJ93" s="6">
        <f>Site6!K113</f>
        <v>1859</v>
      </c>
      <c r="CK93" s="6">
        <f>Site6!L113</f>
        <v>1984</v>
      </c>
      <c r="CL93" s="6">
        <f>Site6!M113</f>
        <v>2123</v>
      </c>
      <c r="CM93" s="6">
        <f>Site6!N113</f>
        <v>2266</v>
      </c>
      <c r="CN93" s="6">
        <f>Site6!O113</f>
        <v>2424</v>
      </c>
      <c r="CO93" s="6">
        <f>Site6!P113</f>
        <v>2586</v>
      </c>
    </row>
    <row r="94" spans="1:107" s="269" customFormat="1" collapsed="1" x14ac:dyDescent="0.25">
      <c r="A94" s="101">
        <v>351</v>
      </c>
      <c r="B94" s="274" t="s">
        <v>494</v>
      </c>
      <c r="D94" s="260">
        <f t="shared" si="22"/>
        <v>39250</v>
      </c>
      <c r="E94" s="260">
        <f t="shared" si="11"/>
        <v>40989</v>
      </c>
      <c r="F94" s="260">
        <f t="shared" si="12"/>
        <v>48880</v>
      </c>
      <c r="G94" s="260">
        <f t="shared" si="13"/>
        <v>53309</v>
      </c>
      <c r="H94" s="260">
        <f t="shared" si="14"/>
        <v>56852</v>
      </c>
      <c r="I94" s="260">
        <f t="shared" si="15"/>
        <v>59972</v>
      </c>
      <c r="J94" s="260">
        <f t="shared" si="16"/>
        <v>63274</v>
      </c>
      <c r="K94" s="260">
        <f t="shared" si="17"/>
        <v>66655</v>
      </c>
      <c r="L94" s="260">
        <f t="shared" si="18"/>
        <v>70386</v>
      </c>
      <c r="M94" s="260">
        <f t="shared" si="19"/>
        <v>74206</v>
      </c>
      <c r="N94" s="260">
        <f t="shared" si="20"/>
        <v>78227</v>
      </c>
      <c r="O94" s="260">
        <f t="shared" si="21"/>
        <v>82453</v>
      </c>
      <c r="Q94" s="261">
        <f>Site1!E114</f>
        <v>14100</v>
      </c>
      <c r="R94" s="261">
        <f>Site1!F114</f>
        <v>14670</v>
      </c>
      <c r="S94" s="261">
        <f>Site1!G114</f>
        <v>15250</v>
      </c>
      <c r="T94" s="261">
        <f>Site1!H114</f>
        <v>15843</v>
      </c>
      <c r="U94" s="261">
        <f>Site1!I114</f>
        <v>16446</v>
      </c>
      <c r="V94" s="261">
        <f>Site1!J114</f>
        <v>17061</v>
      </c>
      <c r="W94" s="261">
        <f>Site1!K114</f>
        <v>17739</v>
      </c>
      <c r="X94" s="261">
        <f>Site1!L114</f>
        <v>18432</v>
      </c>
      <c r="Y94" s="261">
        <f>Site1!M114</f>
        <v>19137</v>
      </c>
      <c r="Z94" s="261">
        <f>Site1!N114</f>
        <v>19854</v>
      </c>
      <c r="AA94" s="261">
        <f>Site1!O114</f>
        <v>20586</v>
      </c>
      <c r="AB94" s="261">
        <f>Site1!P114</f>
        <v>21330</v>
      </c>
      <c r="AD94" s="261">
        <f>Site2!E114</f>
        <v>9400</v>
      </c>
      <c r="AE94" s="261">
        <f>Site2!F114</f>
        <v>9780</v>
      </c>
      <c r="AF94" s="261">
        <f>Site2!G114</f>
        <v>10167</v>
      </c>
      <c r="AG94" s="261">
        <f>Site2!H114</f>
        <v>10562</v>
      </c>
      <c r="AH94" s="261">
        <f>Site2!I114</f>
        <v>10964</v>
      </c>
      <c r="AI94" s="261">
        <f>Site2!J114</f>
        <v>11374</v>
      </c>
      <c r="AJ94" s="261">
        <f>Site2!K114</f>
        <v>11791</v>
      </c>
      <c r="AK94" s="261">
        <f>Site2!L114</f>
        <v>12216</v>
      </c>
      <c r="AL94" s="261">
        <f>Site2!M114</f>
        <v>12703</v>
      </c>
      <c r="AM94" s="261">
        <f>Site2!N114</f>
        <v>13199</v>
      </c>
      <c r="AN94" s="261">
        <f>Site2!O114</f>
        <v>13705</v>
      </c>
      <c r="AO94" s="261">
        <f>Site2!P114</f>
        <v>14221</v>
      </c>
      <c r="AQ94" s="261">
        <f>Site3!E114</f>
        <v>3995</v>
      </c>
      <c r="AR94" s="261">
        <f>Site3!F114</f>
        <v>5273</v>
      </c>
      <c r="AS94" s="261">
        <f>Site3!G114</f>
        <v>5866</v>
      </c>
      <c r="AT94" s="261">
        <f>Site3!H114</f>
        <v>6278</v>
      </c>
      <c r="AU94" s="261">
        <f>Site3!I114</f>
        <v>6701</v>
      </c>
      <c r="AV94" s="261">
        <f>Site3!J114</f>
        <v>7186</v>
      </c>
      <c r="AW94" s="261">
        <f>Site3!K114</f>
        <v>7686</v>
      </c>
      <c r="AX94" s="261">
        <f>Site3!L114</f>
        <v>8198</v>
      </c>
      <c r="AY94" s="261">
        <f>Site3!M114</f>
        <v>8778</v>
      </c>
      <c r="AZ94" s="261">
        <f>Site3!N114</f>
        <v>9373</v>
      </c>
      <c r="BA94" s="261">
        <f>Site3!O114</f>
        <v>9983</v>
      </c>
      <c r="BB94" s="261">
        <f>Site3!P114</f>
        <v>10665</v>
      </c>
      <c r="BD94" s="261">
        <f>Site4!E114</f>
        <v>4230</v>
      </c>
      <c r="BE94" s="261">
        <f>Site4!F114</f>
        <v>6232</v>
      </c>
      <c r="BF94" s="261">
        <f>Site4!G114</f>
        <v>7332</v>
      </c>
      <c r="BG94" s="261">
        <f>Site4!H114</f>
        <v>7871</v>
      </c>
      <c r="BH94" s="261">
        <f>Site4!I114</f>
        <v>8426</v>
      </c>
      <c r="BI94" s="261">
        <f>Site4!J114</f>
        <v>8996</v>
      </c>
      <c r="BJ94" s="261">
        <f>Site4!K114</f>
        <v>9634</v>
      </c>
      <c r="BK94" s="261">
        <f>Site4!L114</f>
        <v>10287</v>
      </c>
      <c r="BL94" s="261">
        <f>Site4!M114</f>
        <v>11013</v>
      </c>
      <c r="BM94" s="261">
        <f>Site4!N114</f>
        <v>11758</v>
      </c>
      <c r="BN94" s="261">
        <f>Site4!O114</f>
        <v>12577</v>
      </c>
      <c r="BO94" s="261">
        <f>Site4!P114</f>
        <v>13417</v>
      </c>
      <c r="BQ94" s="261">
        <f>Site5!E114</f>
        <v>7525</v>
      </c>
      <c r="BR94" s="261">
        <f>Site5!F114</f>
        <v>5034</v>
      </c>
      <c r="BS94" s="261">
        <f>Site5!G114</f>
        <v>5866</v>
      </c>
      <c r="BT94" s="261">
        <f>Site5!H114</f>
        <v>6278</v>
      </c>
      <c r="BU94" s="261">
        <f>Site5!I114</f>
        <v>6701</v>
      </c>
      <c r="BV94" s="261">
        <f>Site5!J114</f>
        <v>7186</v>
      </c>
      <c r="BW94" s="261">
        <f>Site5!K114</f>
        <v>7686</v>
      </c>
      <c r="BX94" s="261">
        <f>Site5!L114</f>
        <v>8198</v>
      </c>
      <c r="BY94" s="261">
        <f>Site5!M114</f>
        <v>8778</v>
      </c>
      <c r="BZ94" s="261">
        <f>Site5!N114</f>
        <v>9373</v>
      </c>
      <c r="CA94" s="261">
        <f>Site5!O114</f>
        <v>9983</v>
      </c>
      <c r="CB94" s="261">
        <f>Site5!P114</f>
        <v>10665</v>
      </c>
      <c r="CD94" s="261">
        <f>Site6!E114</f>
        <v>0</v>
      </c>
      <c r="CE94" s="261">
        <f>Site6!F114</f>
        <v>0</v>
      </c>
      <c r="CF94" s="261">
        <f>Site6!G114</f>
        <v>4399</v>
      </c>
      <c r="CG94" s="261">
        <f>Site6!H114</f>
        <v>6477</v>
      </c>
      <c r="CH94" s="261">
        <f>Site6!I114</f>
        <v>7614</v>
      </c>
      <c r="CI94" s="261">
        <f>Site6!J114</f>
        <v>8169</v>
      </c>
      <c r="CJ94" s="261">
        <f>Site6!K114</f>
        <v>8738</v>
      </c>
      <c r="CK94" s="261">
        <f>Site6!L114</f>
        <v>9324</v>
      </c>
      <c r="CL94" s="261">
        <f>Site6!M114</f>
        <v>9977</v>
      </c>
      <c r="CM94" s="261">
        <f>Site6!N114</f>
        <v>10649</v>
      </c>
      <c r="CN94" s="261">
        <f>Site6!O114</f>
        <v>11393</v>
      </c>
      <c r="CO94" s="261">
        <f>Site6!P114</f>
        <v>12155</v>
      </c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</row>
    <row r="95" spans="1:107" s="31" customFormat="1" hidden="1" outlineLevel="1" x14ac:dyDescent="0.25">
      <c r="A95" s="100">
        <v>6410</v>
      </c>
      <c r="B95" s="18" t="s">
        <v>443</v>
      </c>
      <c r="D95" s="154">
        <f t="shared" si="22"/>
        <v>1440</v>
      </c>
      <c r="E95" s="154">
        <f t="shared" si="11"/>
        <v>1468.8</v>
      </c>
      <c r="F95" s="154">
        <f t="shared" si="12"/>
        <v>1497.6000000000001</v>
      </c>
      <c r="G95" s="154">
        <f t="shared" si="13"/>
        <v>1526.4</v>
      </c>
      <c r="H95" s="154">
        <f t="shared" si="14"/>
        <v>1555.2</v>
      </c>
      <c r="I95" s="154">
        <f t="shared" si="15"/>
        <v>1584.0000000000002</v>
      </c>
      <c r="J95" s="154">
        <f t="shared" si="16"/>
        <v>1612.8000000000002</v>
      </c>
      <c r="K95" s="154">
        <f t="shared" si="17"/>
        <v>1641.6000000000001</v>
      </c>
      <c r="L95" s="154">
        <f t="shared" si="18"/>
        <v>1670.3999999999999</v>
      </c>
      <c r="M95" s="154">
        <f t="shared" si="19"/>
        <v>1699.1999999999998</v>
      </c>
      <c r="N95" s="154">
        <f t="shared" si="20"/>
        <v>1728</v>
      </c>
      <c r="O95" s="154">
        <f t="shared" si="21"/>
        <v>1756.8</v>
      </c>
      <c r="Q95" s="6">
        <f>Site1!E115</f>
        <v>1440</v>
      </c>
      <c r="R95" s="6">
        <f>Site1!F115</f>
        <v>1468.8</v>
      </c>
      <c r="S95" s="6">
        <f>Site1!G115</f>
        <v>1497.6000000000001</v>
      </c>
      <c r="T95" s="6">
        <f>Site1!H115</f>
        <v>1526.4</v>
      </c>
      <c r="U95" s="6">
        <f>Site1!I115</f>
        <v>1555.2</v>
      </c>
      <c r="V95" s="6">
        <f>Site1!J115</f>
        <v>1584.0000000000002</v>
      </c>
      <c r="W95" s="6">
        <f>Site1!K115</f>
        <v>1612.8000000000002</v>
      </c>
      <c r="X95" s="6">
        <f>Site1!L115</f>
        <v>1641.6000000000001</v>
      </c>
      <c r="Y95" s="6">
        <f>Site1!M115</f>
        <v>1670.3999999999999</v>
      </c>
      <c r="Z95" s="6">
        <f>Site1!N115</f>
        <v>1699.1999999999998</v>
      </c>
      <c r="AA95" s="6">
        <f>Site1!O115</f>
        <v>1728</v>
      </c>
      <c r="AB95" s="6">
        <f>Site1!P115</f>
        <v>1756.8</v>
      </c>
      <c r="AD95" s="6">
        <f>Site2!E115</f>
        <v>0</v>
      </c>
      <c r="AE95" s="6">
        <f>Site2!F115</f>
        <v>0</v>
      </c>
      <c r="AF95" s="6">
        <f>Site2!G115</f>
        <v>0</v>
      </c>
      <c r="AG95" s="6">
        <f>Site2!H115</f>
        <v>0</v>
      </c>
      <c r="AH95" s="6">
        <f>Site2!I115</f>
        <v>0</v>
      </c>
      <c r="AI95" s="6">
        <f>Site2!J115</f>
        <v>0</v>
      </c>
      <c r="AJ95" s="6">
        <f>Site2!K115</f>
        <v>0</v>
      </c>
      <c r="AK95" s="6">
        <f>Site2!L115</f>
        <v>0</v>
      </c>
      <c r="AL95" s="6">
        <f>Site2!M115</f>
        <v>0</v>
      </c>
      <c r="AM95" s="6">
        <f>Site2!N115</f>
        <v>0</v>
      </c>
      <c r="AN95" s="6">
        <f>Site2!O115</f>
        <v>0</v>
      </c>
      <c r="AO95" s="6">
        <f>Site2!P115</f>
        <v>0</v>
      </c>
      <c r="AQ95" s="6">
        <f>Site3!E115</f>
        <v>0</v>
      </c>
      <c r="AR95" s="6">
        <f>Site3!F115</f>
        <v>0</v>
      </c>
      <c r="AS95" s="6">
        <f>Site3!G115</f>
        <v>0</v>
      </c>
      <c r="AT95" s="6">
        <f>Site3!H115</f>
        <v>0</v>
      </c>
      <c r="AU95" s="6">
        <f>Site3!I115</f>
        <v>0</v>
      </c>
      <c r="AV95" s="6">
        <f>Site3!J115</f>
        <v>0</v>
      </c>
      <c r="AW95" s="6">
        <f>Site3!K115</f>
        <v>0</v>
      </c>
      <c r="AX95" s="6">
        <f>Site3!L115</f>
        <v>0</v>
      </c>
      <c r="AY95" s="6">
        <f>Site3!M115</f>
        <v>0</v>
      </c>
      <c r="AZ95" s="6">
        <f>Site3!N115</f>
        <v>0</v>
      </c>
      <c r="BA95" s="6">
        <f>Site3!O115</f>
        <v>0</v>
      </c>
      <c r="BB95" s="6">
        <f>Site3!P115</f>
        <v>0</v>
      </c>
      <c r="BD95" s="6">
        <f>Site4!E115</f>
        <v>0</v>
      </c>
      <c r="BE95" s="6">
        <f>Site4!F115</f>
        <v>0</v>
      </c>
      <c r="BF95" s="6">
        <f>Site4!G115</f>
        <v>0</v>
      </c>
      <c r="BG95" s="6">
        <f>Site4!H115</f>
        <v>0</v>
      </c>
      <c r="BH95" s="6">
        <f>Site4!I115</f>
        <v>0</v>
      </c>
      <c r="BI95" s="6">
        <f>Site4!J115</f>
        <v>0</v>
      </c>
      <c r="BJ95" s="6">
        <f>Site4!K115</f>
        <v>0</v>
      </c>
      <c r="BK95" s="6">
        <f>Site4!L115</f>
        <v>0</v>
      </c>
      <c r="BL95" s="6">
        <f>Site4!M115</f>
        <v>0</v>
      </c>
      <c r="BM95" s="6">
        <f>Site4!N115</f>
        <v>0</v>
      </c>
      <c r="BN95" s="6">
        <f>Site4!O115</f>
        <v>0</v>
      </c>
      <c r="BO95" s="6">
        <f>Site4!P115</f>
        <v>0</v>
      </c>
      <c r="BQ95" s="6">
        <f>Site5!E115</f>
        <v>0</v>
      </c>
      <c r="BR95" s="6">
        <f>Site5!F115</f>
        <v>0</v>
      </c>
      <c r="BS95" s="6">
        <f>Site5!G115</f>
        <v>0</v>
      </c>
      <c r="BT95" s="6">
        <f>Site5!H115</f>
        <v>0</v>
      </c>
      <c r="BU95" s="6">
        <f>Site5!I115</f>
        <v>0</v>
      </c>
      <c r="BV95" s="6">
        <f>Site5!J115</f>
        <v>0</v>
      </c>
      <c r="BW95" s="6">
        <f>Site5!K115</f>
        <v>0</v>
      </c>
      <c r="BX95" s="6">
        <f>Site5!L115</f>
        <v>0</v>
      </c>
      <c r="BY95" s="6">
        <f>Site5!M115</f>
        <v>0</v>
      </c>
      <c r="BZ95" s="6">
        <f>Site5!N115</f>
        <v>0</v>
      </c>
      <c r="CA95" s="6">
        <f>Site5!O115</f>
        <v>0</v>
      </c>
      <c r="CB95" s="6">
        <f>Site5!P115</f>
        <v>0</v>
      </c>
      <c r="CD95" s="6">
        <f>Site6!E115</f>
        <v>0</v>
      </c>
      <c r="CE95" s="6">
        <f>Site6!F115</f>
        <v>0</v>
      </c>
      <c r="CF95" s="6">
        <f>Site6!G115</f>
        <v>0</v>
      </c>
      <c r="CG95" s="6">
        <f>Site6!H115</f>
        <v>0</v>
      </c>
      <c r="CH95" s="6">
        <f>Site6!I115</f>
        <v>0</v>
      </c>
      <c r="CI95" s="6">
        <f>Site6!J115</f>
        <v>0</v>
      </c>
      <c r="CJ95" s="6">
        <f>Site6!K115</f>
        <v>0</v>
      </c>
      <c r="CK95" s="6">
        <f>Site6!L115</f>
        <v>0</v>
      </c>
      <c r="CL95" s="6">
        <f>Site6!M115</f>
        <v>0</v>
      </c>
      <c r="CM95" s="6">
        <f>Site6!N115</f>
        <v>0</v>
      </c>
      <c r="CN95" s="6">
        <f>Site6!O115</f>
        <v>0</v>
      </c>
      <c r="CO95" s="6">
        <f>Site6!P115</f>
        <v>0</v>
      </c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s="31" customFormat="1" hidden="1" outlineLevel="1" x14ac:dyDescent="0.25">
      <c r="A96" s="100">
        <v>6420</v>
      </c>
      <c r="B96" s="18" t="s">
        <v>444</v>
      </c>
      <c r="D96" s="154">
        <f t="shared" si="22"/>
        <v>16710</v>
      </c>
      <c r="E96" s="154">
        <f t="shared" si="11"/>
        <v>16710</v>
      </c>
      <c r="F96" s="154">
        <f t="shared" si="12"/>
        <v>17226</v>
      </c>
      <c r="G96" s="154">
        <f t="shared" si="13"/>
        <v>17226</v>
      </c>
      <c r="H96" s="154">
        <f t="shared" si="14"/>
        <v>17226</v>
      </c>
      <c r="I96" s="154">
        <f t="shared" si="15"/>
        <v>17226</v>
      </c>
      <c r="J96" s="154">
        <f t="shared" si="16"/>
        <v>17226</v>
      </c>
      <c r="K96" s="154">
        <f t="shared" si="17"/>
        <v>17226</v>
      </c>
      <c r="L96" s="154">
        <f t="shared" si="18"/>
        <v>17226</v>
      </c>
      <c r="M96" s="154">
        <f t="shared" si="19"/>
        <v>17226</v>
      </c>
      <c r="N96" s="154">
        <f t="shared" si="20"/>
        <v>17226</v>
      </c>
      <c r="O96" s="154">
        <f t="shared" si="21"/>
        <v>17226</v>
      </c>
      <c r="Q96" s="6">
        <f>Site1!E116</f>
        <v>6000</v>
      </c>
      <c r="R96" s="6">
        <f>Site1!F116</f>
        <v>6000</v>
      </c>
      <c r="S96" s="6">
        <f>Site1!G116</f>
        <v>6000</v>
      </c>
      <c r="T96" s="6">
        <f>Site1!H116</f>
        <v>6000</v>
      </c>
      <c r="U96" s="6">
        <f>Site1!I116</f>
        <v>6000</v>
      </c>
      <c r="V96" s="6">
        <f>Site1!J116</f>
        <v>6000</v>
      </c>
      <c r="W96" s="6">
        <f>Site1!K116</f>
        <v>6000</v>
      </c>
      <c r="X96" s="6">
        <f>Site1!L116</f>
        <v>6000</v>
      </c>
      <c r="Y96" s="6">
        <f>Site1!M116</f>
        <v>6000</v>
      </c>
      <c r="Z96" s="6">
        <f>Site1!N116</f>
        <v>6000</v>
      </c>
      <c r="AA96" s="6">
        <f>Site1!O116</f>
        <v>6000</v>
      </c>
      <c r="AB96" s="6">
        <f>Site1!P116</f>
        <v>6000</v>
      </c>
      <c r="AD96" s="6">
        <f>Site2!E116</f>
        <v>6000</v>
      </c>
      <c r="AE96" s="6">
        <f>Site2!F116</f>
        <v>6000</v>
      </c>
      <c r="AF96" s="6">
        <f>Site2!G116</f>
        <v>6000</v>
      </c>
      <c r="AG96" s="6">
        <f>Site2!H116</f>
        <v>6000</v>
      </c>
      <c r="AH96" s="6">
        <f>Site2!I116</f>
        <v>6000</v>
      </c>
      <c r="AI96" s="6">
        <f>Site2!J116</f>
        <v>6000</v>
      </c>
      <c r="AJ96" s="6">
        <f>Site2!K116</f>
        <v>6000</v>
      </c>
      <c r="AK96" s="6">
        <f>Site2!L116</f>
        <v>6000</v>
      </c>
      <c r="AL96" s="6">
        <f>Site2!M116</f>
        <v>6000</v>
      </c>
      <c r="AM96" s="6">
        <f>Site2!N116</f>
        <v>6000</v>
      </c>
      <c r="AN96" s="6">
        <f>Site2!O116</f>
        <v>6000</v>
      </c>
      <c r="AO96" s="6">
        <f>Site2!P116</f>
        <v>6000</v>
      </c>
      <c r="AQ96" s="6">
        <f>Site3!E116</f>
        <v>0</v>
      </c>
      <c r="AR96" s="6">
        <f>Site3!F116</f>
        <v>0</v>
      </c>
      <c r="AS96" s="6">
        <f>Site3!G116</f>
        <v>0</v>
      </c>
      <c r="AT96" s="6">
        <f>Site3!H116</f>
        <v>0</v>
      </c>
      <c r="AU96" s="6">
        <f>Site3!I116</f>
        <v>0</v>
      </c>
      <c r="AV96" s="6">
        <f>Site3!J116</f>
        <v>0</v>
      </c>
      <c r="AW96" s="6">
        <f>Site3!K116</f>
        <v>0</v>
      </c>
      <c r="AX96" s="6">
        <f>Site3!L116</f>
        <v>0</v>
      </c>
      <c r="AY96" s="6">
        <f>Site3!M116</f>
        <v>0</v>
      </c>
      <c r="AZ96" s="6">
        <f>Site3!N116</f>
        <v>0</v>
      </c>
      <c r="BA96" s="6">
        <f>Site3!O116</f>
        <v>0</v>
      </c>
      <c r="BB96" s="6">
        <f>Site3!P116</f>
        <v>0</v>
      </c>
      <c r="BD96" s="6">
        <f>Site4!E116</f>
        <v>510</v>
      </c>
      <c r="BE96" s="6">
        <f>Site4!F116</f>
        <v>510</v>
      </c>
      <c r="BF96" s="6">
        <f>Site4!G116</f>
        <v>510</v>
      </c>
      <c r="BG96" s="6">
        <f>Site4!H116</f>
        <v>510</v>
      </c>
      <c r="BH96" s="6">
        <f>Site4!I116</f>
        <v>510</v>
      </c>
      <c r="BI96" s="6">
        <f>Site4!J116</f>
        <v>510</v>
      </c>
      <c r="BJ96" s="6">
        <f>Site4!K116</f>
        <v>510</v>
      </c>
      <c r="BK96" s="6">
        <f>Site4!L116</f>
        <v>510</v>
      </c>
      <c r="BL96" s="6">
        <f>Site4!M116</f>
        <v>510</v>
      </c>
      <c r="BM96" s="6">
        <f>Site4!N116</f>
        <v>510</v>
      </c>
      <c r="BN96" s="6">
        <f>Site4!O116</f>
        <v>510</v>
      </c>
      <c r="BO96" s="6">
        <f>Site4!P116</f>
        <v>510</v>
      </c>
      <c r="BQ96" s="6">
        <f>Site5!E116</f>
        <v>4200</v>
      </c>
      <c r="BR96" s="6">
        <f>Site5!F116</f>
        <v>4200</v>
      </c>
      <c r="BS96" s="6">
        <f>Site5!G116</f>
        <v>4200</v>
      </c>
      <c r="BT96" s="6">
        <f>Site5!H116</f>
        <v>4200</v>
      </c>
      <c r="BU96" s="6">
        <f>Site5!I116</f>
        <v>4200</v>
      </c>
      <c r="BV96" s="6">
        <f>Site5!J116</f>
        <v>4200</v>
      </c>
      <c r="BW96" s="6">
        <f>Site5!K116</f>
        <v>4200</v>
      </c>
      <c r="BX96" s="6">
        <f>Site5!L116</f>
        <v>4200</v>
      </c>
      <c r="BY96" s="6">
        <f>Site5!M116</f>
        <v>4200</v>
      </c>
      <c r="BZ96" s="6">
        <f>Site5!N116</f>
        <v>4200</v>
      </c>
      <c r="CA96" s="6">
        <f>Site5!O116</f>
        <v>4200</v>
      </c>
      <c r="CB96" s="6">
        <f>Site5!P116</f>
        <v>4200</v>
      </c>
      <c r="CD96" s="6">
        <f>Site6!E116</f>
        <v>0</v>
      </c>
      <c r="CE96" s="6">
        <f>Site6!F116</f>
        <v>0</v>
      </c>
      <c r="CF96" s="6">
        <f>Site6!G116</f>
        <v>516</v>
      </c>
      <c r="CG96" s="6">
        <f>Site6!H116</f>
        <v>516</v>
      </c>
      <c r="CH96" s="6">
        <f>Site6!I116</f>
        <v>516</v>
      </c>
      <c r="CI96" s="6">
        <f>Site6!J116</f>
        <v>516</v>
      </c>
      <c r="CJ96" s="6">
        <f>Site6!K116</f>
        <v>516</v>
      </c>
      <c r="CK96" s="6">
        <f>Site6!L116</f>
        <v>516</v>
      </c>
      <c r="CL96" s="6">
        <f>Site6!M116</f>
        <v>516</v>
      </c>
      <c r="CM96" s="6">
        <f>Site6!N116</f>
        <v>516</v>
      </c>
      <c r="CN96" s="6">
        <f>Site6!O116</f>
        <v>516</v>
      </c>
      <c r="CO96" s="6">
        <f>Site6!P116</f>
        <v>516</v>
      </c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s="31" customFormat="1" hidden="1" outlineLevel="1" x14ac:dyDescent="0.25">
      <c r="A97" s="100">
        <v>6430</v>
      </c>
      <c r="B97" s="18" t="s">
        <v>463</v>
      </c>
      <c r="D97" s="154">
        <f t="shared" si="22"/>
        <v>2520</v>
      </c>
      <c r="E97" s="154">
        <f t="shared" si="11"/>
        <v>2520</v>
      </c>
      <c r="F97" s="154">
        <f t="shared" si="12"/>
        <v>2640</v>
      </c>
      <c r="G97" s="154">
        <f t="shared" si="13"/>
        <v>2640</v>
      </c>
      <c r="H97" s="154">
        <f t="shared" si="14"/>
        <v>2640</v>
      </c>
      <c r="I97" s="154">
        <f t="shared" si="15"/>
        <v>2640</v>
      </c>
      <c r="J97" s="154">
        <f t="shared" si="16"/>
        <v>2640</v>
      </c>
      <c r="K97" s="154">
        <f t="shared" si="17"/>
        <v>2640</v>
      </c>
      <c r="L97" s="154">
        <f t="shared" si="18"/>
        <v>2640</v>
      </c>
      <c r="M97" s="154">
        <f t="shared" si="19"/>
        <v>2640</v>
      </c>
      <c r="N97" s="154">
        <f t="shared" si="20"/>
        <v>2640</v>
      </c>
      <c r="O97" s="154">
        <f t="shared" si="21"/>
        <v>2640</v>
      </c>
      <c r="Q97" s="6">
        <f>Site1!E117</f>
        <v>2400</v>
      </c>
      <c r="R97" s="6">
        <f>Site1!F117</f>
        <v>2400</v>
      </c>
      <c r="S97" s="6">
        <f>Site1!G117</f>
        <v>2400</v>
      </c>
      <c r="T97" s="6">
        <f>Site1!H117</f>
        <v>2400</v>
      </c>
      <c r="U97" s="6">
        <f>Site1!I117</f>
        <v>2400</v>
      </c>
      <c r="V97" s="6">
        <f>Site1!J117</f>
        <v>2400</v>
      </c>
      <c r="W97" s="6">
        <f>Site1!K117</f>
        <v>2400</v>
      </c>
      <c r="X97" s="6">
        <f>Site1!L117</f>
        <v>2400</v>
      </c>
      <c r="Y97" s="6">
        <f>Site1!M117</f>
        <v>2400</v>
      </c>
      <c r="Z97" s="6">
        <f>Site1!N117</f>
        <v>2400</v>
      </c>
      <c r="AA97" s="6">
        <f>Site1!O117</f>
        <v>2400</v>
      </c>
      <c r="AB97" s="6">
        <f>Site1!P117</f>
        <v>2400</v>
      </c>
      <c r="AD97" s="6">
        <f>Site2!E117</f>
        <v>0</v>
      </c>
      <c r="AE97" s="6">
        <f>Site2!F117</f>
        <v>0</v>
      </c>
      <c r="AF97" s="6">
        <f>Site2!G117</f>
        <v>0</v>
      </c>
      <c r="AG97" s="6">
        <f>Site2!H117</f>
        <v>0</v>
      </c>
      <c r="AH97" s="6">
        <f>Site2!I117</f>
        <v>0</v>
      </c>
      <c r="AI97" s="6">
        <f>Site2!J117</f>
        <v>0</v>
      </c>
      <c r="AJ97" s="6">
        <f>Site2!K117</f>
        <v>0</v>
      </c>
      <c r="AK97" s="6">
        <f>Site2!L117</f>
        <v>0</v>
      </c>
      <c r="AL97" s="6">
        <f>Site2!M117</f>
        <v>0</v>
      </c>
      <c r="AM97" s="6">
        <f>Site2!N117</f>
        <v>0</v>
      </c>
      <c r="AN97" s="6">
        <f>Site2!O117</f>
        <v>0</v>
      </c>
      <c r="AO97" s="6">
        <f>Site2!P117</f>
        <v>0</v>
      </c>
      <c r="AQ97" s="6">
        <f>Site3!E117</f>
        <v>0</v>
      </c>
      <c r="AR97" s="6">
        <f>Site3!F117</f>
        <v>0</v>
      </c>
      <c r="AS97" s="6">
        <f>Site3!G117</f>
        <v>0</v>
      </c>
      <c r="AT97" s="6">
        <f>Site3!H117</f>
        <v>0</v>
      </c>
      <c r="AU97" s="6">
        <f>Site3!I117</f>
        <v>0</v>
      </c>
      <c r="AV97" s="6">
        <f>Site3!J117</f>
        <v>0</v>
      </c>
      <c r="AW97" s="6">
        <f>Site3!K117</f>
        <v>0</v>
      </c>
      <c r="AX97" s="6">
        <f>Site3!L117</f>
        <v>0</v>
      </c>
      <c r="AY97" s="6">
        <f>Site3!M117</f>
        <v>0</v>
      </c>
      <c r="AZ97" s="6">
        <f>Site3!N117</f>
        <v>0</v>
      </c>
      <c r="BA97" s="6">
        <f>Site3!O117</f>
        <v>0</v>
      </c>
      <c r="BB97" s="6">
        <f>Site3!P117</f>
        <v>0</v>
      </c>
      <c r="BD97" s="6">
        <f>Site4!E117</f>
        <v>120</v>
      </c>
      <c r="BE97" s="6">
        <f>Site4!F117</f>
        <v>120</v>
      </c>
      <c r="BF97" s="6">
        <f>Site4!G117</f>
        <v>120</v>
      </c>
      <c r="BG97" s="6">
        <f>Site4!H117</f>
        <v>120</v>
      </c>
      <c r="BH97" s="6">
        <f>Site4!I117</f>
        <v>120</v>
      </c>
      <c r="BI97" s="6">
        <f>Site4!J117</f>
        <v>120</v>
      </c>
      <c r="BJ97" s="6">
        <f>Site4!K117</f>
        <v>120</v>
      </c>
      <c r="BK97" s="6">
        <f>Site4!L117</f>
        <v>120</v>
      </c>
      <c r="BL97" s="6">
        <f>Site4!M117</f>
        <v>120</v>
      </c>
      <c r="BM97" s="6">
        <f>Site4!N117</f>
        <v>120</v>
      </c>
      <c r="BN97" s="6">
        <f>Site4!O117</f>
        <v>120</v>
      </c>
      <c r="BO97" s="6">
        <f>Site4!P117</f>
        <v>120</v>
      </c>
      <c r="BQ97" s="6">
        <f>Site5!E117</f>
        <v>0</v>
      </c>
      <c r="BR97" s="6">
        <f>Site5!F117</f>
        <v>0</v>
      </c>
      <c r="BS97" s="6">
        <f>Site5!G117</f>
        <v>0</v>
      </c>
      <c r="BT97" s="6">
        <f>Site5!H117</f>
        <v>0</v>
      </c>
      <c r="BU97" s="6">
        <f>Site5!I117</f>
        <v>0</v>
      </c>
      <c r="BV97" s="6">
        <f>Site5!J117</f>
        <v>0</v>
      </c>
      <c r="BW97" s="6">
        <f>Site5!K117</f>
        <v>0</v>
      </c>
      <c r="BX97" s="6">
        <f>Site5!L117</f>
        <v>0</v>
      </c>
      <c r="BY97" s="6">
        <f>Site5!M117</f>
        <v>0</v>
      </c>
      <c r="BZ97" s="6">
        <f>Site5!N117</f>
        <v>0</v>
      </c>
      <c r="CA97" s="6">
        <f>Site5!O117</f>
        <v>0</v>
      </c>
      <c r="CB97" s="6">
        <f>Site5!P117</f>
        <v>0</v>
      </c>
      <c r="CD97" s="6">
        <f>Site6!E117</f>
        <v>0</v>
      </c>
      <c r="CE97" s="6">
        <f>Site6!F117</f>
        <v>0</v>
      </c>
      <c r="CF97" s="6">
        <f>Site6!G117</f>
        <v>120</v>
      </c>
      <c r="CG97" s="6">
        <f>Site6!H117</f>
        <v>120</v>
      </c>
      <c r="CH97" s="6">
        <f>Site6!I117</f>
        <v>120</v>
      </c>
      <c r="CI97" s="6">
        <f>Site6!J117</f>
        <v>120</v>
      </c>
      <c r="CJ97" s="6">
        <f>Site6!K117</f>
        <v>120</v>
      </c>
      <c r="CK97" s="6">
        <f>Site6!L117</f>
        <v>120</v>
      </c>
      <c r="CL97" s="6">
        <f>Site6!M117</f>
        <v>120</v>
      </c>
      <c r="CM97" s="6">
        <f>Site6!N117</f>
        <v>120</v>
      </c>
      <c r="CN97" s="6">
        <f>Site6!O117</f>
        <v>120</v>
      </c>
      <c r="CO97" s="6">
        <f>Site6!P117</f>
        <v>120</v>
      </c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s="30" customFormat="1" collapsed="1" x14ac:dyDescent="0.25">
      <c r="A98" s="101">
        <v>400</v>
      </c>
      <c r="B98" s="274" t="s">
        <v>445</v>
      </c>
      <c r="D98" s="260">
        <f t="shared" si="22"/>
        <v>20670</v>
      </c>
      <c r="E98" s="260">
        <f t="shared" si="11"/>
        <v>20698.8</v>
      </c>
      <c r="F98" s="260">
        <f t="shared" si="12"/>
        <v>21363.599999999999</v>
      </c>
      <c r="G98" s="260">
        <f t="shared" si="13"/>
        <v>21392.400000000001</v>
      </c>
      <c r="H98" s="260">
        <f t="shared" si="14"/>
        <v>21421.200000000001</v>
      </c>
      <c r="I98" s="260">
        <f t="shared" si="15"/>
        <v>21450</v>
      </c>
      <c r="J98" s="260">
        <f t="shared" si="16"/>
        <v>21478.799999999999</v>
      </c>
      <c r="K98" s="260">
        <f t="shared" si="17"/>
        <v>21507.599999999999</v>
      </c>
      <c r="L98" s="260">
        <f t="shared" si="18"/>
        <v>21536.400000000001</v>
      </c>
      <c r="M98" s="260">
        <f t="shared" si="19"/>
        <v>21565.200000000001</v>
      </c>
      <c r="N98" s="260">
        <f t="shared" si="20"/>
        <v>21594</v>
      </c>
      <c r="O98" s="260">
        <f t="shared" si="21"/>
        <v>21622.799999999999</v>
      </c>
      <c r="Q98" s="261">
        <f>Site1!E118</f>
        <v>9840</v>
      </c>
      <c r="R98" s="261">
        <f>Site1!F118</f>
        <v>9868.7999999999993</v>
      </c>
      <c r="S98" s="261">
        <f>Site1!G118</f>
        <v>9897.6</v>
      </c>
      <c r="T98" s="261">
        <f>Site1!H118</f>
        <v>9926.4</v>
      </c>
      <c r="U98" s="261">
        <f>Site1!I118</f>
        <v>9955.2000000000007</v>
      </c>
      <c r="V98" s="261">
        <f>Site1!J118</f>
        <v>9984</v>
      </c>
      <c r="W98" s="261">
        <f>Site1!K118</f>
        <v>10012.799999999999</v>
      </c>
      <c r="X98" s="261">
        <f>Site1!L118</f>
        <v>10041.6</v>
      </c>
      <c r="Y98" s="261">
        <f>Site1!M118</f>
        <v>10070.4</v>
      </c>
      <c r="Z98" s="261">
        <f>Site1!N118</f>
        <v>10099.200000000001</v>
      </c>
      <c r="AA98" s="261">
        <f>Site1!O118</f>
        <v>10128</v>
      </c>
      <c r="AB98" s="261">
        <f>Site1!P118</f>
        <v>10156.799999999999</v>
      </c>
      <c r="AD98" s="261">
        <f>Site2!E118</f>
        <v>6000</v>
      </c>
      <c r="AE98" s="261">
        <f>Site2!F118</f>
        <v>6000</v>
      </c>
      <c r="AF98" s="261">
        <f>Site2!G118</f>
        <v>6000</v>
      </c>
      <c r="AG98" s="261">
        <f>Site2!H118</f>
        <v>6000</v>
      </c>
      <c r="AH98" s="261">
        <f>Site2!I118</f>
        <v>6000</v>
      </c>
      <c r="AI98" s="261">
        <f>Site2!J118</f>
        <v>6000</v>
      </c>
      <c r="AJ98" s="261">
        <f>Site2!K118</f>
        <v>6000</v>
      </c>
      <c r="AK98" s="261">
        <f>Site2!L118</f>
        <v>6000</v>
      </c>
      <c r="AL98" s="261">
        <f>Site2!M118</f>
        <v>6000</v>
      </c>
      <c r="AM98" s="261">
        <f>Site2!N118</f>
        <v>6000</v>
      </c>
      <c r="AN98" s="261">
        <f>Site2!O118</f>
        <v>6000</v>
      </c>
      <c r="AO98" s="261">
        <f>Site2!P118</f>
        <v>6000</v>
      </c>
      <c r="AQ98" s="261">
        <f>Site3!E118</f>
        <v>0</v>
      </c>
      <c r="AR98" s="261">
        <f>Site3!F118</f>
        <v>0</v>
      </c>
      <c r="AS98" s="261">
        <f>Site3!G118</f>
        <v>0</v>
      </c>
      <c r="AT98" s="261">
        <f>Site3!H118</f>
        <v>0</v>
      </c>
      <c r="AU98" s="261">
        <f>Site3!I118</f>
        <v>0</v>
      </c>
      <c r="AV98" s="261">
        <f>Site3!J118</f>
        <v>0</v>
      </c>
      <c r="AW98" s="261">
        <f>Site3!K118</f>
        <v>0</v>
      </c>
      <c r="AX98" s="261">
        <f>Site3!L118</f>
        <v>0</v>
      </c>
      <c r="AY98" s="261">
        <f>Site3!M118</f>
        <v>0</v>
      </c>
      <c r="AZ98" s="261">
        <f>Site3!N118</f>
        <v>0</v>
      </c>
      <c r="BA98" s="261">
        <f>Site3!O118</f>
        <v>0</v>
      </c>
      <c r="BB98" s="261">
        <f>Site3!P118</f>
        <v>0</v>
      </c>
      <c r="BD98" s="261">
        <f>Site4!E118</f>
        <v>630</v>
      </c>
      <c r="BE98" s="261">
        <f>Site4!F118</f>
        <v>630</v>
      </c>
      <c r="BF98" s="261">
        <f>Site4!G118</f>
        <v>630</v>
      </c>
      <c r="BG98" s="261">
        <f>Site4!H118</f>
        <v>630</v>
      </c>
      <c r="BH98" s="261">
        <f>Site4!I118</f>
        <v>630</v>
      </c>
      <c r="BI98" s="261">
        <f>Site4!J118</f>
        <v>630</v>
      </c>
      <c r="BJ98" s="261">
        <f>Site4!K118</f>
        <v>630</v>
      </c>
      <c r="BK98" s="261">
        <f>Site4!L118</f>
        <v>630</v>
      </c>
      <c r="BL98" s="261">
        <f>Site4!M118</f>
        <v>630</v>
      </c>
      <c r="BM98" s="261">
        <f>Site4!N118</f>
        <v>630</v>
      </c>
      <c r="BN98" s="261">
        <f>Site4!O118</f>
        <v>630</v>
      </c>
      <c r="BO98" s="261">
        <f>Site4!P118</f>
        <v>630</v>
      </c>
      <c r="BQ98" s="261">
        <f>Site5!E118</f>
        <v>4200</v>
      </c>
      <c r="BR98" s="261">
        <f>Site5!F118</f>
        <v>4200</v>
      </c>
      <c r="BS98" s="261">
        <f>Site5!G118</f>
        <v>4200</v>
      </c>
      <c r="BT98" s="261">
        <f>Site5!H118</f>
        <v>4200</v>
      </c>
      <c r="BU98" s="261">
        <f>Site5!I118</f>
        <v>4200</v>
      </c>
      <c r="BV98" s="261">
        <f>Site5!J118</f>
        <v>4200</v>
      </c>
      <c r="BW98" s="261">
        <f>Site5!K118</f>
        <v>4200</v>
      </c>
      <c r="BX98" s="261">
        <f>Site5!L118</f>
        <v>4200</v>
      </c>
      <c r="BY98" s="261">
        <f>Site5!M118</f>
        <v>4200</v>
      </c>
      <c r="BZ98" s="261">
        <f>Site5!N118</f>
        <v>4200</v>
      </c>
      <c r="CA98" s="261">
        <f>Site5!O118</f>
        <v>4200</v>
      </c>
      <c r="CB98" s="261">
        <f>Site5!P118</f>
        <v>4200</v>
      </c>
      <c r="CD98" s="261">
        <f>Site6!E118</f>
        <v>0</v>
      </c>
      <c r="CE98" s="261">
        <f>Site6!F118</f>
        <v>0</v>
      </c>
      <c r="CF98" s="261">
        <f>Site6!G118</f>
        <v>636</v>
      </c>
      <c r="CG98" s="261">
        <f>Site6!H118</f>
        <v>636</v>
      </c>
      <c r="CH98" s="261">
        <f>Site6!I118</f>
        <v>636</v>
      </c>
      <c r="CI98" s="261">
        <f>Site6!J118</f>
        <v>636</v>
      </c>
      <c r="CJ98" s="261">
        <f>Site6!K118</f>
        <v>636</v>
      </c>
      <c r="CK98" s="261">
        <f>Site6!L118</f>
        <v>636</v>
      </c>
      <c r="CL98" s="261">
        <f>Site6!M118</f>
        <v>636</v>
      </c>
      <c r="CM98" s="261">
        <f>Site6!N118</f>
        <v>636</v>
      </c>
      <c r="CN98" s="261">
        <f>Site6!O118</f>
        <v>636</v>
      </c>
      <c r="CO98" s="261">
        <f>Site6!P118</f>
        <v>636</v>
      </c>
    </row>
    <row r="99" spans="1:107" s="30" customFormat="1" x14ac:dyDescent="0.25">
      <c r="A99" s="284">
        <v>440</v>
      </c>
      <c r="B99" s="276" t="s">
        <v>464</v>
      </c>
      <c r="D99" s="278">
        <f t="shared" si="22"/>
        <v>285300</v>
      </c>
      <c r="E99" s="278">
        <f t="shared" si="11"/>
        <v>292101</v>
      </c>
      <c r="F99" s="278">
        <f t="shared" si="12"/>
        <v>356882.03</v>
      </c>
      <c r="G99" s="278">
        <f t="shared" si="13"/>
        <v>388120.24090000003</v>
      </c>
      <c r="H99" s="278">
        <f t="shared" si="14"/>
        <v>398551.90812700009</v>
      </c>
      <c r="I99" s="278">
        <f t="shared" si="15"/>
        <v>409296.02537081006</v>
      </c>
      <c r="J99" s="278">
        <f t="shared" si="16"/>
        <v>420361.30613193428</v>
      </c>
      <c r="K99" s="278">
        <f t="shared" si="17"/>
        <v>431758.72531589237</v>
      </c>
      <c r="L99" s="278">
        <f t="shared" si="18"/>
        <v>443497.52707536914</v>
      </c>
      <c r="M99" s="278">
        <f t="shared" si="19"/>
        <v>455588.23288763023</v>
      </c>
      <c r="N99" s="278">
        <f t="shared" si="20"/>
        <v>468041.64987425914</v>
      </c>
      <c r="O99" s="278">
        <f t="shared" si="21"/>
        <v>479948.87937048695</v>
      </c>
      <c r="Q99" s="287">
        <f>Site1!E119</f>
        <v>105300</v>
      </c>
      <c r="R99" s="287">
        <f>Site1!F119</f>
        <v>107900</v>
      </c>
      <c r="S99" s="287">
        <f>Site1!G119</f>
        <v>111700</v>
      </c>
      <c r="T99" s="287">
        <f>Site1!H119</f>
        <v>136800</v>
      </c>
      <c r="U99" s="287">
        <f>Site1!I119</f>
        <v>140904</v>
      </c>
      <c r="V99" s="287">
        <f>Site1!J119</f>
        <v>145131.12000000002</v>
      </c>
      <c r="W99" s="287">
        <f>Site1!K119</f>
        <v>149485.05360000001</v>
      </c>
      <c r="X99" s="287">
        <f>Site1!L119</f>
        <v>153969.60520800002</v>
      </c>
      <c r="Y99" s="287">
        <f>Site1!M119</f>
        <v>158588.69336424005</v>
      </c>
      <c r="Z99" s="287">
        <f>Site1!N119</f>
        <v>163346.35416516723</v>
      </c>
      <c r="AA99" s="287">
        <f>Site1!O119</f>
        <v>168246.74479012223</v>
      </c>
      <c r="AB99" s="287">
        <f>Site1!P119</f>
        <v>173294.14713382593</v>
      </c>
      <c r="AD99" s="287">
        <f>Site2!E119</f>
        <v>63300</v>
      </c>
      <c r="AE99" s="287">
        <f>Site2!F119</f>
        <v>64000</v>
      </c>
      <c r="AF99" s="287">
        <f>Site2!G119</f>
        <v>64675</v>
      </c>
      <c r="AG99" s="287">
        <f>Site2!H119</f>
        <v>65398</v>
      </c>
      <c r="AH99" s="287">
        <f>Site2!I119</f>
        <v>66148</v>
      </c>
      <c r="AI99" s="287">
        <f>Site2!J119</f>
        <v>66920</v>
      </c>
      <c r="AJ99" s="287">
        <f>Site2!K119</f>
        <v>67714</v>
      </c>
      <c r="AK99" s="287">
        <f>Site2!L119</f>
        <v>68532</v>
      </c>
      <c r="AL99" s="287">
        <f>Site2!M119</f>
        <v>69374</v>
      </c>
      <c r="AM99" s="287">
        <f>Site2!N119</f>
        <v>70241</v>
      </c>
      <c r="AN99" s="287">
        <f>Site2!O119</f>
        <v>71134</v>
      </c>
      <c r="AO99" s="287">
        <f>Site2!P119</f>
        <v>71134</v>
      </c>
      <c r="AQ99" s="287">
        <f>Site3!E119</f>
        <v>24000</v>
      </c>
      <c r="AR99" s="287">
        <f>Site3!F119</f>
        <v>24720</v>
      </c>
      <c r="AS99" s="287">
        <f>Site3!G119</f>
        <v>25461.600000000002</v>
      </c>
      <c r="AT99" s="287">
        <f>Site3!H119</f>
        <v>26225.448000000004</v>
      </c>
      <c r="AU99" s="287">
        <f>Site3!I119</f>
        <v>27012.211440000006</v>
      </c>
      <c r="AV99" s="287">
        <f>Site3!J119</f>
        <v>27822.577783200002</v>
      </c>
      <c r="AW99" s="287">
        <f>Site3!K119</f>
        <v>28657.255116696011</v>
      </c>
      <c r="AX99" s="287">
        <f>Site3!L119</f>
        <v>29516.972770196888</v>
      </c>
      <c r="AY99" s="287">
        <f>Site3!M119</f>
        <v>30402.481953302799</v>
      </c>
      <c r="AZ99" s="287">
        <f>Site3!N119</f>
        <v>31314.556411901882</v>
      </c>
      <c r="BA99" s="287">
        <f>Site3!O119</f>
        <v>32253.993104258941</v>
      </c>
      <c r="BB99" s="287">
        <f>Site3!P119</f>
        <v>33221.612897386709</v>
      </c>
      <c r="BD99" s="287">
        <f>Site4!E119</f>
        <v>56700</v>
      </c>
      <c r="BE99" s="287">
        <f>Site4!F119</f>
        <v>58401</v>
      </c>
      <c r="BF99" s="287">
        <f>Site4!G119</f>
        <v>60153.030000000006</v>
      </c>
      <c r="BG99" s="287">
        <f>Site4!H119</f>
        <v>61957.620900000009</v>
      </c>
      <c r="BH99" s="287">
        <f>Site4!I119</f>
        <v>63816.349527000013</v>
      </c>
      <c r="BI99" s="287">
        <f>Site4!J119</f>
        <v>65730.840012810018</v>
      </c>
      <c r="BJ99" s="287">
        <f>Site4!K119</f>
        <v>67702.765213194303</v>
      </c>
      <c r="BK99" s="287">
        <f>Site4!L119</f>
        <v>69733.848169590143</v>
      </c>
      <c r="BL99" s="287">
        <f>Site4!M119</f>
        <v>71825.86361467783</v>
      </c>
      <c r="BM99" s="287">
        <f>Site4!N119</f>
        <v>73980.639523118181</v>
      </c>
      <c r="BN99" s="287">
        <f>Site4!O119</f>
        <v>76200.058708811732</v>
      </c>
      <c r="BO99" s="287">
        <f>Site4!P119</f>
        <v>78486.060470076089</v>
      </c>
      <c r="BQ99" s="287">
        <f>Site5!E119</f>
        <v>36000</v>
      </c>
      <c r="BR99" s="287">
        <f>Site5!F119</f>
        <v>37080</v>
      </c>
      <c r="BS99" s="287">
        <f>Site5!G119</f>
        <v>38192.399999999994</v>
      </c>
      <c r="BT99" s="287">
        <f>Site5!H119</f>
        <v>39338.171999999999</v>
      </c>
      <c r="BU99" s="287">
        <f>Site5!I119</f>
        <v>40518.317160000006</v>
      </c>
      <c r="BV99" s="287">
        <f>Site5!J119</f>
        <v>41733.866674800003</v>
      </c>
      <c r="BW99" s="287">
        <f>Site5!K119</f>
        <v>42985.882675044006</v>
      </c>
      <c r="BX99" s="287">
        <f>Site5!L119</f>
        <v>44275.459155295328</v>
      </c>
      <c r="BY99" s="287">
        <f>Site5!M119</f>
        <v>45603.722929954187</v>
      </c>
      <c r="BZ99" s="287">
        <f>Site5!N119</f>
        <v>46971.834617852815</v>
      </c>
      <c r="CA99" s="287">
        <f>Site5!O119</f>
        <v>48380.989656388403</v>
      </c>
      <c r="CB99" s="287">
        <f>Site5!P119</f>
        <v>49832.419346080052</v>
      </c>
      <c r="CD99" s="287">
        <f>Site6!E119</f>
        <v>0</v>
      </c>
      <c r="CE99" s="287">
        <f>Site6!F119</f>
        <v>0</v>
      </c>
      <c r="CF99" s="287">
        <f>Site6!G119</f>
        <v>56700</v>
      </c>
      <c r="CG99" s="287">
        <f>Site6!H119</f>
        <v>58401</v>
      </c>
      <c r="CH99" s="287">
        <f>Site6!I119</f>
        <v>60153.030000000006</v>
      </c>
      <c r="CI99" s="287">
        <f>Site6!J119</f>
        <v>61957.620900000009</v>
      </c>
      <c r="CJ99" s="287">
        <f>Site6!K119</f>
        <v>63816.349527000013</v>
      </c>
      <c r="CK99" s="287">
        <f>Site6!L119</f>
        <v>65730.840012810018</v>
      </c>
      <c r="CL99" s="287">
        <f>Site6!M119</f>
        <v>67702.765213194303</v>
      </c>
      <c r="CM99" s="287">
        <f>Site6!N119</f>
        <v>69733.848169590143</v>
      </c>
      <c r="CN99" s="287">
        <f>Site6!O119</f>
        <v>71825.86361467783</v>
      </c>
      <c r="CO99" s="287">
        <f>Site6!P119</f>
        <v>73980.639523118181</v>
      </c>
    </row>
    <row r="100" spans="1:107" s="30" customFormat="1" x14ac:dyDescent="0.25">
      <c r="A100" s="284">
        <v>440</v>
      </c>
      <c r="B100" s="276" t="s">
        <v>554</v>
      </c>
      <c r="D100" s="278">
        <f t="shared" si="22"/>
        <v>1000</v>
      </c>
      <c r="E100" s="278">
        <f t="shared" si="11"/>
        <v>1000</v>
      </c>
      <c r="F100" s="278">
        <f t="shared" si="12"/>
        <v>1500</v>
      </c>
      <c r="G100" s="278">
        <f t="shared" si="13"/>
        <v>1500</v>
      </c>
      <c r="H100" s="278">
        <f t="shared" si="14"/>
        <v>1500</v>
      </c>
      <c r="I100" s="278">
        <f t="shared" si="15"/>
        <v>1500</v>
      </c>
      <c r="J100" s="278">
        <f t="shared" si="16"/>
        <v>1500</v>
      </c>
      <c r="K100" s="278">
        <f t="shared" si="17"/>
        <v>1500</v>
      </c>
      <c r="L100" s="278">
        <f t="shared" si="18"/>
        <v>1500</v>
      </c>
      <c r="M100" s="278">
        <f t="shared" si="19"/>
        <v>1500</v>
      </c>
      <c r="N100" s="278">
        <f t="shared" si="20"/>
        <v>1500</v>
      </c>
      <c r="O100" s="278">
        <f t="shared" si="21"/>
        <v>1500</v>
      </c>
      <c r="Q100" s="287">
        <f>Site1!E120</f>
        <v>0</v>
      </c>
      <c r="R100" s="287">
        <f>Site1!F120</f>
        <v>0</v>
      </c>
      <c r="S100" s="287">
        <f>Site1!G120</f>
        <v>0</v>
      </c>
      <c r="T100" s="287">
        <f>Site1!H120</f>
        <v>0</v>
      </c>
      <c r="U100" s="287">
        <f>Site1!I120</f>
        <v>0</v>
      </c>
      <c r="V100" s="287">
        <f>Site1!J120</f>
        <v>0</v>
      </c>
      <c r="W100" s="287">
        <f>Site1!K120</f>
        <v>0</v>
      </c>
      <c r="X100" s="287">
        <f>Site1!L120</f>
        <v>0</v>
      </c>
      <c r="Y100" s="287">
        <f>Site1!M120</f>
        <v>0</v>
      </c>
      <c r="Z100" s="287">
        <f>Site1!N120</f>
        <v>0</v>
      </c>
      <c r="AA100" s="287">
        <f>Site1!O120</f>
        <v>0</v>
      </c>
      <c r="AB100" s="287">
        <f>Site1!P120</f>
        <v>0</v>
      </c>
      <c r="AD100" s="287">
        <f>Site2!E120</f>
        <v>0</v>
      </c>
      <c r="AE100" s="287">
        <f>Site2!F120</f>
        <v>0</v>
      </c>
      <c r="AF100" s="287">
        <f>Site2!G120</f>
        <v>0</v>
      </c>
      <c r="AG100" s="287">
        <f>Site2!H120</f>
        <v>0</v>
      </c>
      <c r="AH100" s="287">
        <f>Site2!I120</f>
        <v>0</v>
      </c>
      <c r="AI100" s="287">
        <f>Site2!J120</f>
        <v>0</v>
      </c>
      <c r="AJ100" s="287">
        <f>Site2!K120</f>
        <v>0</v>
      </c>
      <c r="AK100" s="287">
        <f>Site2!L120</f>
        <v>0</v>
      </c>
      <c r="AL100" s="287">
        <f>Site2!M120</f>
        <v>0</v>
      </c>
      <c r="AM100" s="287">
        <f>Site2!N120</f>
        <v>0</v>
      </c>
      <c r="AN100" s="287">
        <f>Site2!O120</f>
        <v>0</v>
      </c>
      <c r="AO100" s="287">
        <f>Site2!P120</f>
        <v>0</v>
      </c>
      <c r="AQ100" s="287">
        <f>Site3!E120</f>
        <v>500</v>
      </c>
      <c r="AR100" s="287">
        <f>Site3!F120</f>
        <v>500</v>
      </c>
      <c r="AS100" s="287">
        <f>Site3!G120</f>
        <v>500</v>
      </c>
      <c r="AT100" s="287">
        <f>Site3!H120</f>
        <v>500</v>
      </c>
      <c r="AU100" s="287">
        <f>Site3!I120</f>
        <v>500</v>
      </c>
      <c r="AV100" s="287">
        <f>Site3!J120</f>
        <v>500</v>
      </c>
      <c r="AW100" s="287">
        <f>Site3!K120</f>
        <v>500</v>
      </c>
      <c r="AX100" s="287">
        <f>Site3!L120</f>
        <v>500</v>
      </c>
      <c r="AY100" s="287">
        <f>Site3!M120</f>
        <v>500</v>
      </c>
      <c r="AZ100" s="287">
        <f>Site3!N120</f>
        <v>500</v>
      </c>
      <c r="BA100" s="287">
        <f>Site3!O120</f>
        <v>500</v>
      </c>
      <c r="BB100" s="287">
        <f>Site3!P120</f>
        <v>500</v>
      </c>
      <c r="BD100" s="287">
        <f>Site4!E120</f>
        <v>500</v>
      </c>
      <c r="BE100" s="287">
        <f>Site4!F120</f>
        <v>500</v>
      </c>
      <c r="BF100" s="287">
        <f>Site4!G120</f>
        <v>500</v>
      </c>
      <c r="BG100" s="287">
        <f>Site4!H120</f>
        <v>500</v>
      </c>
      <c r="BH100" s="287">
        <f>Site4!I120</f>
        <v>500</v>
      </c>
      <c r="BI100" s="287">
        <f>Site4!J120</f>
        <v>500</v>
      </c>
      <c r="BJ100" s="287">
        <f>Site4!K120</f>
        <v>500</v>
      </c>
      <c r="BK100" s="287">
        <f>Site4!L120</f>
        <v>500</v>
      </c>
      <c r="BL100" s="287">
        <f>Site4!M120</f>
        <v>500</v>
      </c>
      <c r="BM100" s="287">
        <f>Site4!N120</f>
        <v>500</v>
      </c>
      <c r="BN100" s="287">
        <f>Site4!O120</f>
        <v>500</v>
      </c>
      <c r="BO100" s="287">
        <f>Site4!P120</f>
        <v>500</v>
      </c>
      <c r="BQ100" s="287">
        <f>Site5!E120</f>
        <v>0</v>
      </c>
      <c r="BR100" s="287">
        <f>Site5!F120</f>
        <v>0</v>
      </c>
      <c r="BS100" s="287">
        <f>Site5!G120</f>
        <v>0</v>
      </c>
      <c r="BT100" s="287">
        <f>Site5!H120</f>
        <v>0</v>
      </c>
      <c r="BU100" s="287">
        <f>Site5!I120</f>
        <v>0</v>
      </c>
      <c r="BV100" s="287">
        <f>Site5!J120</f>
        <v>0</v>
      </c>
      <c r="BW100" s="287">
        <f>Site5!K120</f>
        <v>0</v>
      </c>
      <c r="BX100" s="287">
        <f>Site5!L120</f>
        <v>0</v>
      </c>
      <c r="BY100" s="287">
        <f>Site5!M120</f>
        <v>0</v>
      </c>
      <c r="BZ100" s="287">
        <f>Site5!N120</f>
        <v>0</v>
      </c>
      <c r="CA100" s="287">
        <f>Site5!O120</f>
        <v>0</v>
      </c>
      <c r="CB100" s="287">
        <f>Site5!P120</f>
        <v>0</v>
      </c>
      <c r="CD100" s="287">
        <f>Site6!E120</f>
        <v>0</v>
      </c>
      <c r="CE100" s="287">
        <f>Site6!F120</f>
        <v>0</v>
      </c>
      <c r="CF100" s="287">
        <f>Site6!G120</f>
        <v>500</v>
      </c>
      <c r="CG100" s="287">
        <f>Site6!H120</f>
        <v>500</v>
      </c>
      <c r="CH100" s="287">
        <f>Site6!I120</f>
        <v>500</v>
      </c>
      <c r="CI100" s="287">
        <f>Site6!J120</f>
        <v>500</v>
      </c>
      <c r="CJ100" s="287">
        <f>Site6!K120</f>
        <v>500</v>
      </c>
      <c r="CK100" s="287">
        <f>Site6!L120</f>
        <v>500</v>
      </c>
      <c r="CL100" s="287">
        <f>Site6!M120</f>
        <v>500</v>
      </c>
      <c r="CM100" s="287">
        <f>Site6!N120</f>
        <v>500</v>
      </c>
      <c r="CN100" s="287">
        <f>Site6!O120</f>
        <v>500</v>
      </c>
      <c r="CO100" s="287">
        <f>Site6!P120</f>
        <v>500</v>
      </c>
    </row>
    <row r="101" spans="1:107" hidden="1" outlineLevel="1" x14ac:dyDescent="0.25">
      <c r="A101" s="100">
        <v>6519</v>
      </c>
      <c r="B101" s="18" t="s">
        <v>448</v>
      </c>
      <c r="D101" s="154">
        <f t="shared" si="22"/>
        <v>3360</v>
      </c>
      <c r="E101" s="154">
        <f t="shared" si="11"/>
        <v>360</v>
      </c>
      <c r="F101" s="154">
        <f t="shared" si="12"/>
        <v>360</v>
      </c>
      <c r="G101" s="154">
        <f t="shared" si="13"/>
        <v>360</v>
      </c>
      <c r="H101" s="154">
        <f t="shared" si="14"/>
        <v>360</v>
      </c>
      <c r="I101" s="154">
        <f t="shared" si="15"/>
        <v>360</v>
      </c>
      <c r="J101" s="154">
        <f t="shared" si="16"/>
        <v>360</v>
      </c>
      <c r="K101" s="154">
        <f t="shared" si="17"/>
        <v>360</v>
      </c>
      <c r="L101" s="154">
        <f t="shared" si="18"/>
        <v>360</v>
      </c>
      <c r="M101" s="154">
        <f t="shared" si="19"/>
        <v>360</v>
      </c>
      <c r="N101" s="154">
        <f t="shared" si="20"/>
        <v>360</v>
      </c>
      <c r="O101" s="154">
        <f t="shared" si="21"/>
        <v>360</v>
      </c>
      <c r="Q101" s="6">
        <f>Site1!E121</f>
        <v>1000</v>
      </c>
      <c r="R101" s="6">
        <f>Site1!F121</f>
        <v>0</v>
      </c>
      <c r="S101" s="6">
        <f>Site1!G121</f>
        <v>0</v>
      </c>
      <c r="T101" s="6">
        <f>Site1!H121</f>
        <v>0</v>
      </c>
      <c r="U101" s="6">
        <f>Site1!I121</f>
        <v>0</v>
      </c>
      <c r="V101" s="6">
        <f>Site1!J121</f>
        <v>0</v>
      </c>
      <c r="W101" s="6">
        <f>Site1!K121</f>
        <v>0</v>
      </c>
      <c r="X101" s="6">
        <f>Site1!L121</f>
        <v>0</v>
      </c>
      <c r="Y101" s="6">
        <f>Site1!M121</f>
        <v>0</v>
      </c>
      <c r="Z101" s="6">
        <f>Site1!N121</f>
        <v>0</v>
      </c>
      <c r="AA101" s="6">
        <f>Site1!O121</f>
        <v>0</v>
      </c>
      <c r="AB101" s="6">
        <f>Site1!P121</f>
        <v>0</v>
      </c>
      <c r="AD101" s="6">
        <f>Site2!E121</f>
        <v>0</v>
      </c>
      <c r="AE101" s="6">
        <f>Site2!F121</f>
        <v>0</v>
      </c>
      <c r="AF101" s="6">
        <f>Site2!G121</f>
        <v>0</v>
      </c>
      <c r="AG101" s="6">
        <f>Site2!H121</f>
        <v>0</v>
      </c>
      <c r="AH101" s="6">
        <f>Site2!I121</f>
        <v>0</v>
      </c>
      <c r="AI101" s="6">
        <f>Site2!J121</f>
        <v>0</v>
      </c>
      <c r="AJ101" s="6">
        <f>Site2!K121</f>
        <v>0</v>
      </c>
      <c r="AK101" s="6">
        <f>Site2!L121</f>
        <v>0</v>
      </c>
      <c r="AL101" s="6">
        <f>Site2!M121</f>
        <v>0</v>
      </c>
      <c r="AM101" s="6">
        <f>Site2!N121</f>
        <v>0</v>
      </c>
      <c r="AN101" s="6">
        <f>Site2!O121</f>
        <v>0</v>
      </c>
      <c r="AO101" s="6">
        <f>Site2!P121</f>
        <v>0</v>
      </c>
      <c r="AQ101" s="6">
        <f>Site3!E121</f>
        <v>1360</v>
      </c>
      <c r="AR101" s="6">
        <f>Site3!F121</f>
        <v>360</v>
      </c>
      <c r="AS101" s="6">
        <f>Site3!G121</f>
        <v>360</v>
      </c>
      <c r="AT101" s="6">
        <f>Site3!H121</f>
        <v>360</v>
      </c>
      <c r="AU101" s="6">
        <f>Site3!I121</f>
        <v>360</v>
      </c>
      <c r="AV101" s="6">
        <f>Site3!J121</f>
        <v>360</v>
      </c>
      <c r="AW101" s="6">
        <f>Site3!K121</f>
        <v>360</v>
      </c>
      <c r="AX101" s="6">
        <f>Site3!L121</f>
        <v>360</v>
      </c>
      <c r="AY101" s="6">
        <f>Site3!M121</f>
        <v>360</v>
      </c>
      <c r="AZ101" s="6">
        <f>Site3!N121</f>
        <v>360</v>
      </c>
      <c r="BA101" s="6">
        <f>Site3!O121</f>
        <v>360</v>
      </c>
      <c r="BB101" s="6">
        <f>Site3!P121</f>
        <v>360</v>
      </c>
      <c r="BD101" s="6">
        <f>Site4!E121</f>
        <v>0</v>
      </c>
      <c r="BE101" s="6">
        <f>Site4!F121</f>
        <v>0</v>
      </c>
      <c r="BF101" s="6">
        <f>Site4!G121</f>
        <v>0</v>
      </c>
      <c r="BG101" s="6">
        <f>Site4!H121</f>
        <v>0</v>
      </c>
      <c r="BH101" s="6">
        <f>Site4!I121</f>
        <v>0</v>
      </c>
      <c r="BI101" s="6">
        <f>Site4!J121</f>
        <v>0</v>
      </c>
      <c r="BJ101" s="6">
        <f>Site4!K121</f>
        <v>0</v>
      </c>
      <c r="BK101" s="6">
        <f>Site4!L121</f>
        <v>0</v>
      </c>
      <c r="BL101" s="6">
        <f>Site4!M121</f>
        <v>0</v>
      </c>
      <c r="BM101" s="6">
        <f>Site4!N121</f>
        <v>0</v>
      </c>
      <c r="BN101" s="6">
        <f>Site4!O121</f>
        <v>0</v>
      </c>
      <c r="BO101" s="6">
        <f>Site4!P121</f>
        <v>0</v>
      </c>
      <c r="BQ101" s="6">
        <f>Site5!E121</f>
        <v>1000</v>
      </c>
      <c r="BR101" s="6">
        <f>Site5!F121</f>
        <v>0</v>
      </c>
      <c r="BS101" s="6">
        <f>Site5!G121</f>
        <v>0</v>
      </c>
      <c r="BT101" s="6">
        <f>Site5!H121</f>
        <v>0</v>
      </c>
      <c r="BU101" s="6">
        <f>Site5!I121</f>
        <v>0</v>
      </c>
      <c r="BV101" s="6">
        <f>Site5!J121</f>
        <v>0</v>
      </c>
      <c r="BW101" s="6">
        <f>Site5!K121</f>
        <v>0</v>
      </c>
      <c r="BX101" s="6">
        <f>Site5!L121</f>
        <v>0</v>
      </c>
      <c r="BY101" s="6">
        <f>Site5!M121</f>
        <v>0</v>
      </c>
      <c r="BZ101" s="6">
        <f>Site5!N121</f>
        <v>0</v>
      </c>
      <c r="CA101" s="6">
        <f>Site5!O121</f>
        <v>0</v>
      </c>
      <c r="CB101" s="6">
        <f>Site5!P121</f>
        <v>0</v>
      </c>
      <c r="CD101" s="6">
        <f>Site6!E121</f>
        <v>0</v>
      </c>
      <c r="CE101" s="6">
        <f>Site6!F121</f>
        <v>0</v>
      </c>
      <c r="CF101" s="6">
        <f>Site6!G121</f>
        <v>0</v>
      </c>
      <c r="CG101" s="6">
        <f>Site6!H121</f>
        <v>0</v>
      </c>
      <c r="CH101" s="6">
        <f>Site6!I121</f>
        <v>0</v>
      </c>
      <c r="CI101" s="6">
        <f>Site6!J121</f>
        <v>0</v>
      </c>
      <c r="CJ101" s="6">
        <f>Site6!K121</f>
        <v>0</v>
      </c>
      <c r="CK101" s="6">
        <f>Site6!L121</f>
        <v>0</v>
      </c>
      <c r="CL101" s="6">
        <f>Site6!M121</f>
        <v>0</v>
      </c>
      <c r="CM101" s="6">
        <f>Site6!N121</f>
        <v>0</v>
      </c>
      <c r="CN101" s="6">
        <f>Site6!O121</f>
        <v>0</v>
      </c>
      <c r="CO101" s="6">
        <f>Site6!P121</f>
        <v>0</v>
      </c>
    </row>
    <row r="102" spans="1:107" hidden="1" outlineLevel="1" x14ac:dyDescent="0.25">
      <c r="A102" s="100">
        <v>6530</v>
      </c>
      <c r="B102" s="18" t="s">
        <v>453</v>
      </c>
      <c r="D102" s="154">
        <f t="shared" si="22"/>
        <v>3000</v>
      </c>
      <c r="E102" s="154">
        <f t="shared" si="11"/>
        <v>3060</v>
      </c>
      <c r="F102" s="154">
        <f t="shared" si="12"/>
        <v>3744</v>
      </c>
      <c r="G102" s="154">
        <f t="shared" si="13"/>
        <v>3816</v>
      </c>
      <c r="H102" s="154">
        <f t="shared" si="14"/>
        <v>3888</v>
      </c>
      <c r="I102" s="154">
        <f t="shared" si="15"/>
        <v>3960.0000000000005</v>
      </c>
      <c r="J102" s="154">
        <f t="shared" si="16"/>
        <v>4032.0000000000005</v>
      </c>
      <c r="K102" s="154">
        <f t="shared" si="17"/>
        <v>4104.0000000000009</v>
      </c>
      <c r="L102" s="154">
        <f t="shared" si="18"/>
        <v>4175.9999999999991</v>
      </c>
      <c r="M102" s="154">
        <f t="shared" si="19"/>
        <v>4248</v>
      </c>
      <c r="N102" s="154">
        <f t="shared" si="20"/>
        <v>4320</v>
      </c>
      <c r="O102" s="154">
        <f t="shared" si="21"/>
        <v>4392</v>
      </c>
      <c r="Q102" s="6">
        <f>Site1!E122</f>
        <v>600</v>
      </c>
      <c r="R102" s="6">
        <f>Site1!F122</f>
        <v>612</v>
      </c>
      <c r="S102" s="6">
        <f>Site1!G122</f>
        <v>624</v>
      </c>
      <c r="T102" s="6">
        <f>Site1!H122</f>
        <v>636</v>
      </c>
      <c r="U102" s="6">
        <f>Site1!I122</f>
        <v>648</v>
      </c>
      <c r="V102" s="6">
        <f>Site1!J122</f>
        <v>660.00000000000011</v>
      </c>
      <c r="W102" s="6">
        <f>Site1!K122</f>
        <v>672.00000000000011</v>
      </c>
      <c r="X102" s="6">
        <f>Site1!L122</f>
        <v>684.00000000000011</v>
      </c>
      <c r="Y102" s="6">
        <f>Site1!M122</f>
        <v>695.99999999999989</v>
      </c>
      <c r="Z102" s="6">
        <f>Site1!N122</f>
        <v>708</v>
      </c>
      <c r="AA102" s="6">
        <f>Site1!O122</f>
        <v>720</v>
      </c>
      <c r="AB102" s="6">
        <f>Site1!P122</f>
        <v>732</v>
      </c>
      <c r="AD102" s="6">
        <f>Site2!E122</f>
        <v>600</v>
      </c>
      <c r="AE102" s="6">
        <f>Site2!F122</f>
        <v>612</v>
      </c>
      <c r="AF102" s="6">
        <f>Site2!G122</f>
        <v>624</v>
      </c>
      <c r="AG102" s="6">
        <f>Site2!H122</f>
        <v>636</v>
      </c>
      <c r="AH102" s="6">
        <f>Site2!I122</f>
        <v>648</v>
      </c>
      <c r="AI102" s="6">
        <f>Site2!J122</f>
        <v>660.00000000000011</v>
      </c>
      <c r="AJ102" s="6">
        <f>Site2!K122</f>
        <v>672.00000000000011</v>
      </c>
      <c r="AK102" s="6">
        <f>Site2!L122</f>
        <v>684.00000000000011</v>
      </c>
      <c r="AL102" s="6">
        <f>Site2!M122</f>
        <v>695.99999999999989</v>
      </c>
      <c r="AM102" s="6">
        <f>Site2!N122</f>
        <v>708</v>
      </c>
      <c r="AN102" s="6">
        <f>Site2!O122</f>
        <v>720</v>
      </c>
      <c r="AO102" s="6">
        <f>Site2!P122</f>
        <v>732</v>
      </c>
      <c r="AQ102" s="6">
        <f>Site3!E122</f>
        <v>600</v>
      </c>
      <c r="AR102" s="6">
        <f>Site3!F122</f>
        <v>612</v>
      </c>
      <c r="AS102" s="6">
        <f>Site3!G122</f>
        <v>624</v>
      </c>
      <c r="AT102" s="6">
        <f>Site3!H122</f>
        <v>636</v>
      </c>
      <c r="AU102" s="6">
        <f>Site3!I122</f>
        <v>648</v>
      </c>
      <c r="AV102" s="6">
        <f>Site3!J122</f>
        <v>660.00000000000011</v>
      </c>
      <c r="AW102" s="6">
        <f>Site3!K122</f>
        <v>672.00000000000011</v>
      </c>
      <c r="AX102" s="6">
        <f>Site3!L122</f>
        <v>684.00000000000011</v>
      </c>
      <c r="AY102" s="6">
        <f>Site3!M122</f>
        <v>695.99999999999989</v>
      </c>
      <c r="AZ102" s="6">
        <f>Site3!N122</f>
        <v>708</v>
      </c>
      <c r="BA102" s="6">
        <f>Site3!O122</f>
        <v>720</v>
      </c>
      <c r="BB102" s="6">
        <f>Site3!P122</f>
        <v>732</v>
      </c>
      <c r="BD102" s="6">
        <f>Site4!E122</f>
        <v>600</v>
      </c>
      <c r="BE102" s="6">
        <f>Site4!F122</f>
        <v>612</v>
      </c>
      <c r="BF102" s="6">
        <f>Site4!G122</f>
        <v>624</v>
      </c>
      <c r="BG102" s="6">
        <f>Site4!H122</f>
        <v>636</v>
      </c>
      <c r="BH102" s="6">
        <f>Site4!I122</f>
        <v>648</v>
      </c>
      <c r="BI102" s="6">
        <f>Site4!J122</f>
        <v>660.00000000000011</v>
      </c>
      <c r="BJ102" s="6">
        <f>Site4!K122</f>
        <v>672.00000000000011</v>
      </c>
      <c r="BK102" s="6">
        <f>Site4!L122</f>
        <v>684.00000000000011</v>
      </c>
      <c r="BL102" s="6">
        <f>Site4!M122</f>
        <v>695.99999999999989</v>
      </c>
      <c r="BM102" s="6">
        <f>Site4!N122</f>
        <v>708</v>
      </c>
      <c r="BN102" s="6">
        <f>Site4!O122</f>
        <v>720</v>
      </c>
      <c r="BO102" s="6">
        <f>Site4!P122</f>
        <v>732</v>
      </c>
      <c r="BQ102" s="6">
        <f>Site5!E122</f>
        <v>600</v>
      </c>
      <c r="BR102" s="6">
        <f>Site5!F122</f>
        <v>612</v>
      </c>
      <c r="BS102" s="6">
        <f>Site5!G122</f>
        <v>624</v>
      </c>
      <c r="BT102" s="6">
        <f>Site5!H122</f>
        <v>636</v>
      </c>
      <c r="BU102" s="6">
        <f>Site5!I122</f>
        <v>648</v>
      </c>
      <c r="BV102" s="6">
        <f>Site5!J122</f>
        <v>660.00000000000011</v>
      </c>
      <c r="BW102" s="6">
        <f>Site5!K122</f>
        <v>672.00000000000011</v>
      </c>
      <c r="BX102" s="6">
        <f>Site5!L122</f>
        <v>684.00000000000011</v>
      </c>
      <c r="BY102" s="6">
        <f>Site5!M122</f>
        <v>695.99999999999989</v>
      </c>
      <c r="BZ102" s="6">
        <f>Site5!N122</f>
        <v>708</v>
      </c>
      <c r="CA102" s="6">
        <f>Site5!O122</f>
        <v>720</v>
      </c>
      <c r="CB102" s="6">
        <f>Site5!P122</f>
        <v>732</v>
      </c>
      <c r="CD102" s="6">
        <f>Site6!E122</f>
        <v>0</v>
      </c>
      <c r="CE102" s="6">
        <f>Site6!F122</f>
        <v>0</v>
      </c>
      <c r="CF102" s="6">
        <f>Site6!G122</f>
        <v>624</v>
      </c>
      <c r="CG102" s="6">
        <f>Site6!H122</f>
        <v>636</v>
      </c>
      <c r="CH102" s="6">
        <f>Site6!I122</f>
        <v>648</v>
      </c>
      <c r="CI102" s="6">
        <f>Site6!J122</f>
        <v>660.00000000000011</v>
      </c>
      <c r="CJ102" s="6">
        <f>Site6!K122</f>
        <v>672.00000000000011</v>
      </c>
      <c r="CK102" s="6">
        <f>Site6!L122</f>
        <v>684.00000000000011</v>
      </c>
      <c r="CL102" s="6">
        <f>Site6!M122</f>
        <v>695.99999999999989</v>
      </c>
      <c r="CM102" s="6">
        <f>Site6!N122</f>
        <v>708</v>
      </c>
      <c r="CN102" s="6">
        <f>Site6!O122</f>
        <v>720</v>
      </c>
      <c r="CO102" s="6">
        <f>Site6!P122</f>
        <v>732</v>
      </c>
    </row>
    <row r="103" spans="1:107" hidden="1" outlineLevel="1" x14ac:dyDescent="0.25">
      <c r="A103" s="100">
        <v>6534</v>
      </c>
      <c r="B103" s="18" t="s">
        <v>454</v>
      </c>
      <c r="D103" s="154">
        <f t="shared" si="22"/>
        <v>0</v>
      </c>
      <c r="E103" s="154">
        <f t="shared" ref="E103:E156" si="23">R103+AE103+AR103+BE103+BR103+CE103</f>
        <v>0</v>
      </c>
      <c r="F103" s="154">
        <f t="shared" ref="F103:F156" si="24">S103+AF103+AS103+BF103+BS103+CF103</f>
        <v>0</v>
      </c>
      <c r="G103" s="154">
        <f t="shared" ref="G103:G156" si="25">T103+AG103+AT103+BG103+BT103+CG103</f>
        <v>0</v>
      </c>
      <c r="H103" s="154">
        <f t="shared" ref="H103:H156" si="26">U103+AH103+AU103+BH103+BU103+CH103</f>
        <v>0</v>
      </c>
      <c r="I103" s="154">
        <f t="shared" ref="I103:I156" si="27">V103+AI103+AV103+BI103+BV103+CI103</f>
        <v>0</v>
      </c>
      <c r="J103" s="154">
        <f t="shared" ref="J103:J156" si="28">W103+AJ103+AW103+BJ103+BW103+CJ103</f>
        <v>0</v>
      </c>
      <c r="K103" s="154">
        <f t="shared" ref="K103:K156" si="29">X103+AK103+AX103+BK103+BX103+CK103</f>
        <v>0</v>
      </c>
      <c r="L103" s="154">
        <f t="shared" ref="L103:L156" si="30">Y103+AL103+AY103+BL103+BY103+CL103</f>
        <v>0</v>
      </c>
      <c r="M103" s="154">
        <f t="shared" ref="M103:M156" si="31">Z103+AM103+AZ103+BM103+BZ103+CM103</f>
        <v>0</v>
      </c>
      <c r="N103" s="154">
        <f t="shared" ref="N103:N156" si="32">AA103+AN103+BA103+BN103+CA103+CN103</f>
        <v>0</v>
      </c>
      <c r="O103" s="154">
        <f t="shared" ref="O103:O156" si="33">AB103+AO103+BB103+BO103+CB103+CO103</f>
        <v>0</v>
      </c>
      <c r="Q103" s="6">
        <f>Site1!E123</f>
        <v>0</v>
      </c>
      <c r="R103" s="6">
        <f>Site1!F123</f>
        <v>0</v>
      </c>
      <c r="S103" s="6">
        <f>Site1!G123</f>
        <v>0</v>
      </c>
      <c r="T103" s="6">
        <f>Site1!H123</f>
        <v>0</v>
      </c>
      <c r="U103" s="6">
        <f>Site1!I123</f>
        <v>0</v>
      </c>
      <c r="V103" s="6">
        <f>Site1!J123</f>
        <v>0</v>
      </c>
      <c r="W103" s="6">
        <f>Site1!K123</f>
        <v>0</v>
      </c>
      <c r="X103" s="6">
        <f>Site1!L123</f>
        <v>0</v>
      </c>
      <c r="Y103" s="6">
        <f>Site1!M123</f>
        <v>0</v>
      </c>
      <c r="Z103" s="6">
        <f>Site1!N123</f>
        <v>0</v>
      </c>
      <c r="AA103" s="6">
        <f>Site1!O123</f>
        <v>0</v>
      </c>
      <c r="AB103" s="6">
        <f>Site1!P123</f>
        <v>0</v>
      </c>
      <c r="AD103" s="6">
        <f>Site2!E123</f>
        <v>0</v>
      </c>
      <c r="AE103" s="6">
        <f>Site2!F123</f>
        <v>0</v>
      </c>
      <c r="AF103" s="6">
        <f>Site2!G123</f>
        <v>0</v>
      </c>
      <c r="AG103" s="6">
        <f>Site2!H123</f>
        <v>0</v>
      </c>
      <c r="AH103" s="6">
        <f>Site2!I123</f>
        <v>0</v>
      </c>
      <c r="AI103" s="6">
        <f>Site2!J123</f>
        <v>0</v>
      </c>
      <c r="AJ103" s="6">
        <f>Site2!K123</f>
        <v>0</v>
      </c>
      <c r="AK103" s="6">
        <f>Site2!L123</f>
        <v>0</v>
      </c>
      <c r="AL103" s="6">
        <f>Site2!M123</f>
        <v>0</v>
      </c>
      <c r="AM103" s="6">
        <f>Site2!N123</f>
        <v>0</v>
      </c>
      <c r="AN103" s="6">
        <f>Site2!O123</f>
        <v>0</v>
      </c>
      <c r="AO103" s="6">
        <f>Site2!P123</f>
        <v>0</v>
      </c>
      <c r="AQ103" s="6">
        <f>Site3!E123</f>
        <v>0</v>
      </c>
      <c r="AR103" s="6">
        <f>Site3!F123</f>
        <v>0</v>
      </c>
      <c r="AS103" s="6">
        <f>Site3!G123</f>
        <v>0</v>
      </c>
      <c r="AT103" s="6">
        <f>Site3!H123</f>
        <v>0</v>
      </c>
      <c r="AU103" s="6">
        <f>Site3!I123</f>
        <v>0</v>
      </c>
      <c r="AV103" s="6">
        <f>Site3!J123</f>
        <v>0</v>
      </c>
      <c r="AW103" s="6">
        <f>Site3!K123</f>
        <v>0</v>
      </c>
      <c r="AX103" s="6">
        <f>Site3!L123</f>
        <v>0</v>
      </c>
      <c r="AY103" s="6">
        <f>Site3!M123</f>
        <v>0</v>
      </c>
      <c r="AZ103" s="6">
        <f>Site3!N123</f>
        <v>0</v>
      </c>
      <c r="BA103" s="6">
        <f>Site3!O123</f>
        <v>0</v>
      </c>
      <c r="BB103" s="6">
        <f>Site3!P123</f>
        <v>0</v>
      </c>
      <c r="BD103" s="6">
        <f>Site4!E123</f>
        <v>0</v>
      </c>
      <c r="BE103" s="6">
        <f>Site4!F123</f>
        <v>0</v>
      </c>
      <c r="BF103" s="6">
        <f>Site4!G123</f>
        <v>0</v>
      </c>
      <c r="BG103" s="6">
        <f>Site4!H123</f>
        <v>0</v>
      </c>
      <c r="BH103" s="6">
        <f>Site4!I123</f>
        <v>0</v>
      </c>
      <c r="BI103" s="6">
        <f>Site4!J123</f>
        <v>0</v>
      </c>
      <c r="BJ103" s="6">
        <f>Site4!K123</f>
        <v>0</v>
      </c>
      <c r="BK103" s="6">
        <f>Site4!L123</f>
        <v>0</v>
      </c>
      <c r="BL103" s="6">
        <f>Site4!M123</f>
        <v>0</v>
      </c>
      <c r="BM103" s="6">
        <f>Site4!N123</f>
        <v>0</v>
      </c>
      <c r="BN103" s="6">
        <f>Site4!O123</f>
        <v>0</v>
      </c>
      <c r="BO103" s="6">
        <f>Site4!P123</f>
        <v>0</v>
      </c>
      <c r="BQ103" s="6">
        <f>Site5!E123</f>
        <v>0</v>
      </c>
      <c r="BR103" s="6">
        <f>Site5!F123</f>
        <v>0</v>
      </c>
      <c r="BS103" s="6">
        <f>Site5!G123</f>
        <v>0</v>
      </c>
      <c r="BT103" s="6">
        <f>Site5!H123</f>
        <v>0</v>
      </c>
      <c r="BU103" s="6">
        <f>Site5!I123</f>
        <v>0</v>
      </c>
      <c r="BV103" s="6">
        <f>Site5!J123</f>
        <v>0</v>
      </c>
      <c r="BW103" s="6">
        <f>Site5!K123</f>
        <v>0</v>
      </c>
      <c r="BX103" s="6">
        <f>Site5!L123</f>
        <v>0</v>
      </c>
      <c r="BY103" s="6">
        <f>Site5!M123</f>
        <v>0</v>
      </c>
      <c r="BZ103" s="6">
        <f>Site5!N123</f>
        <v>0</v>
      </c>
      <c r="CA103" s="6">
        <f>Site5!O123</f>
        <v>0</v>
      </c>
      <c r="CB103" s="6">
        <f>Site5!P123</f>
        <v>0</v>
      </c>
      <c r="CD103" s="6">
        <f>Site6!E123</f>
        <v>0</v>
      </c>
      <c r="CE103" s="6">
        <f>Site6!F123</f>
        <v>0</v>
      </c>
      <c r="CF103" s="6">
        <f>Site6!G123</f>
        <v>0</v>
      </c>
      <c r="CG103" s="6">
        <f>Site6!H123</f>
        <v>0</v>
      </c>
      <c r="CH103" s="6">
        <f>Site6!I123</f>
        <v>0</v>
      </c>
      <c r="CI103" s="6">
        <f>Site6!J123</f>
        <v>0</v>
      </c>
      <c r="CJ103" s="6">
        <f>Site6!K123</f>
        <v>0</v>
      </c>
      <c r="CK103" s="6">
        <f>Site6!L123</f>
        <v>0</v>
      </c>
      <c r="CL103" s="6">
        <f>Site6!M123</f>
        <v>0</v>
      </c>
      <c r="CM103" s="6">
        <f>Site6!N123</f>
        <v>0</v>
      </c>
      <c r="CN103" s="6">
        <f>Site6!O123</f>
        <v>0</v>
      </c>
      <c r="CO103" s="6">
        <f>Site6!P123</f>
        <v>0</v>
      </c>
    </row>
    <row r="104" spans="1:107" hidden="1" outlineLevel="1" x14ac:dyDescent="0.25">
      <c r="A104" s="100">
        <v>6535</v>
      </c>
      <c r="B104" s="18" t="s">
        <v>455</v>
      </c>
      <c r="D104" s="154">
        <f t="shared" si="22"/>
        <v>5136</v>
      </c>
      <c r="E104" s="154">
        <f t="shared" si="23"/>
        <v>5238.7199999999993</v>
      </c>
      <c r="F104" s="154">
        <f t="shared" si="24"/>
        <v>7138.5599999999995</v>
      </c>
      <c r="G104" s="154">
        <f t="shared" si="25"/>
        <v>7275.8400000000011</v>
      </c>
      <c r="H104" s="154">
        <f t="shared" si="26"/>
        <v>7413.1200000000008</v>
      </c>
      <c r="I104" s="154">
        <f t="shared" si="27"/>
        <v>7550.4000000000005</v>
      </c>
      <c r="J104" s="154">
        <f t="shared" si="28"/>
        <v>7687.6800000000012</v>
      </c>
      <c r="K104" s="154">
        <f t="shared" si="29"/>
        <v>7824.9600000000009</v>
      </c>
      <c r="L104" s="154">
        <f t="shared" si="30"/>
        <v>7962.24</v>
      </c>
      <c r="M104" s="154">
        <f t="shared" si="31"/>
        <v>8099.5199999999995</v>
      </c>
      <c r="N104" s="154">
        <f t="shared" si="32"/>
        <v>8236.7999999999993</v>
      </c>
      <c r="O104" s="154">
        <f t="shared" si="33"/>
        <v>8374.08</v>
      </c>
      <c r="Q104" s="6">
        <f>Site1!E124</f>
        <v>1680</v>
      </c>
      <c r="R104" s="6">
        <f>Site1!F124</f>
        <v>1713.6000000000001</v>
      </c>
      <c r="S104" s="6">
        <f>Site1!G124</f>
        <v>1747.1999999999998</v>
      </c>
      <c r="T104" s="6">
        <f>Site1!H124</f>
        <v>1780.8000000000002</v>
      </c>
      <c r="U104" s="6">
        <f>Site1!I124</f>
        <v>1814.4</v>
      </c>
      <c r="V104" s="6">
        <f>Site1!J124</f>
        <v>1848</v>
      </c>
      <c r="W104" s="6">
        <f>Site1!K124</f>
        <v>1881.6000000000001</v>
      </c>
      <c r="X104" s="6">
        <f>Site1!L124</f>
        <v>1915.2000000000003</v>
      </c>
      <c r="Y104" s="6">
        <f>Site1!M124</f>
        <v>1948.7999999999997</v>
      </c>
      <c r="Z104" s="6">
        <f>Site1!N124</f>
        <v>1982.3999999999999</v>
      </c>
      <c r="AA104" s="6">
        <f>Site1!O124</f>
        <v>2016</v>
      </c>
      <c r="AB104" s="6">
        <f>Site1!P124</f>
        <v>2049.6</v>
      </c>
      <c r="AD104" s="6">
        <f>Site2!E124</f>
        <v>1728</v>
      </c>
      <c r="AE104" s="6">
        <f>Site2!F124</f>
        <v>1762.56</v>
      </c>
      <c r="AF104" s="6">
        <f>Site2!G124</f>
        <v>1797.12</v>
      </c>
      <c r="AG104" s="6">
        <f>Site2!H124</f>
        <v>1831.6800000000003</v>
      </c>
      <c r="AH104" s="6">
        <f>Site2!I124</f>
        <v>1866.2400000000002</v>
      </c>
      <c r="AI104" s="6">
        <f>Site2!J124</f>
        <v>1900.8000000000002</v>
      </c>
      <c r="AJ104" s="6">
        <f>Site2!K124</f>
        <v>1935.3600000000004</v>
      </c>
      <c r="AK104" s="6">
        <f>Site2!L124</f>
        <v>1969.9200000000003</v>
      </c>
      <c r="AL104" s="6">
        <f>Site2!M124</f>
        <v>2004.48</v>
      </c>
      <c r="AM104" s="6">
        <f>Site2!N124</f>
        <v>2039.04</v>
      </c>
      <c r="AN104" s="6">
        <f>Site2!O124</f>
        <v>2073.6</v>
      </c>
      <c r="AO104" s="6">
        <f>Site2!P124</f>
        <v>2108.16</v>
      </c>
      <c r="AQ104" s="6">
        <f>Site3!E124</f>
        <v>0</v>
      </c>
      <c r="AR104" s="6">
        <f>Site3!F124</f>
        <v>0</v>
      </c>
      <c r="AS104" s="6">
        <f>Site3!G124</f>
        <v>0</v>
      </c>
      <c r="AT104" s="6">
        <f>Site3!H124</f>
        <v>0</v>
      </c>
      <c r="AU104" s="6">
        <f>Site3!I124</f>
        <v>0</v>
      </c>
      <c r="AV104" s="6">
        <f>Site3!J124</f>
        <v>0</v>
      </c>
      <c r="AW104" s="6">
        <f>Site3!K124</f>
        <v>0</v>
      </c>
      <c r="AX104" s="6">
        <f>Site3!L124</f>
        <v>0</v>
      </c>
      <c r="AY104" s="6">
        <f>Site3!M124</f>
        <v>0</v>
      </c>
      <c r="AZ104" s="6">
        <f>Site3!N124</f>
        <v>0</v>
      </c>
      <c r="BA104" s="6">
        <f>Site3!O124</f>
        <v>0</v>
      </c>
      <c r="BB104" s="6">
        <f>Site3!P124</f>
        <v>0</v>
      </c>
      <c r="BD104" s="6">
        <f>Site4!E124</f>
        <v>1728</v>
      </c>
      <c r="BE104" s="6">
        <f>Site4!F124</f>
        <v>1762.56</v>
      </c>
      <c r="BF104" s="6">
        <f>Site4!G124</f>
        <v>1797.12</v>
      </c>
      <c r="BG104" s="6">
        <f>Site4!H124</f>
        <v>1831.6800000000003</v>
      </c>
      <c r="BH104" s="6">
        <f>Site4!I124</f>
        <v>1866.2400000000002</v>
      </c>
      <c r="BI104" s="6">
        <f>Site4!J124</f>
        <v>1900.8000000000002</v>
      </c>
      <c r="BJ104" s="6">
        <f>Site4!K124</f>
        <v>1935.3600000000004</v>
      </c>
      <c r="BK104" s="6">
        <f>Site4!L124</f>
        <v>1969.9200000000003</v>
      </c>
      <c r="BL104" s="6">
        <f>Site4!M124</f>
        <v>2004.48</v>
      </c>
      <c r="BM104" s="6">
        <f>Site4!N124</f>
        <v>2039.04</v>
      </c>
      <c r="BN104" s="6">
        <f>Site4!O124</f>
        <v>2073.6</v>
      </c>
      <c r="BO104" s="6">
        <f>Site4!P124</f>
        <v>2108.16</v>
      </c>
      <c r="BQ104" s="6">
        <f>Site5!E124</f>
        <v>0</v>
      </c>
      <c r="BR104" s="6">
        <f>Site5!F124</f>
        <v>0</v>
      </c>
      <c r="BS104" s="6">
        <f>Site5!G124</f>
        <v>0</v>
      </c>
      <c r="BT104" s="6">
        <f>Site5!H124</f>
        <v>0</v>
      </c>
      <c r="BU104" s="6">
        <f>Site5!I124</f>
        <v>0</v>
      </c>
      <c r="BV104" s="6">
        <f>Site5!J124</f>
        <v>0</v>
      </c>
      <c r="BW104" s="6">
        <f>Site5!K124</f>
        <v>0</v>
      </c>
      <c r="BX104" s="6">
        <f>Site5!L124</f>
        <v>0</v>
      </c>
      <c r="BY104" s="6">
        <f>Site5!M124</f>
        <v>0</v>
      </c>
      <c r="BZ104" s="6">
        <f>Site5!N124</f>
        <v>0</v>
      </c>
      <c r="CA104" s="6">
        <f>Site5!O124</f>
        <v>0</v>
      </c>
      <c r="CB104" s="6">
        <f>Site5!P124</f>
        <v>0</v>
      </c>
      <c r="CD104" s="6">
        <f>Site6!E124</f>
        <v>0</v>
      </c>
      <c r="CE104" s="6">
        <f>Site6!F124</f>
        <v>0</v>
      </c>
      <c r="CF104" s="6">
        <f>Site6!G124</f>
        <v>1797.12</v>
      </c>
      <c r="CG104" s="6">
        <f>Site6!H124</f>
        <v>1831.6800000000003</v>
      </c>
      <c r="CH104" s="6">
        <f>Site6!I124</f>
        <v>1866.2400000000002</v>
      </c>
      <c r="CI104" s="6">
        <f>Site6!J124</f>
        <v>1900.8000000000002</v>
      </c>
      <c r="CJ104" s="6">
        <f>Site6!K124</f>
        <v>1935.3600000000004</v>
      </c>
      <c r="CK104" s="6">
        <f>Site6!L124</f>
        <v>1969.9200000000003</v>
      </c>
      <c r="CL104" s="6">
        <f>Site6!M124</f>
        <v>2004.48</v>
      </c>
      <c r="CM104" s="6">
        <f>Site6!N124</f>
        <v>2039.04</v>
      </c>
      <c r="CN104" s="6">
        <f>Site6!O124</f>
        <v>2073.6</v>
      </c>
      <c r="CO104" s="6">
        <f>Site6!P124</f>
        <v>2108.16</v>
      </c>
    </row>
    <row r="105" spans="1:107" hidden="1" outlineLevel="1" x14ac:dyDescent="0.25">
      <c r="A105" s="100">
        <v>6535</v>
      </c>
      <c r="B105" s="18" t="s">
        <v>576</v>
      </c>
      <c r="D105" s="154">
        <f t="shared" si="22"/>
        <v>0</v>
      </c>
      <c r="E105" s="154">
        <f t="shared" si="23"/>
        <v>0</v>
      </c>
      <c r="F105" s="154">
        <f t="shared" si="24"/>
        <v>0</v>
      </c>
      <c r="G105" s="154">
        <f t="shared" si="25"/>
        <v>0</v>
      </c>
      <c r="H105" s="154">
        <f t="shared" si="26"/>
        <v>0</v>
      </c>
      <c r="I105" s="154">
        <f t="shared" si="27"/>
        <v>0</v>
      </c>
      <c r="J105" s="154">
        <f t="shared" si="28"/>
        <v>0</v>
      </c>
      <c r="K105" s="154">
        <f t="shared" si="29"/>
        <v>0</v>
      </c>
      <c r="L105" s="154">
        <f t="shared" si="30"/>
        <v>0</v>
      </c>
      <c r="M105" s="154">
        <f t="shared" si="31"/>
        <v>0</v>
      </c>
      <c r="N105" s="154">
        <f t="shared" si="32"/>
        <v>0</v>
      </c>
      <c r="O105" s="154">
        <f t="shared" si="33"/>
        <v>0</v>
      </c>
      <c r="Q105" s="6">
        <f>Site1!E125</f>
        <v>0</v>
      </c>
      <c r="R105" s="6">
        <f>Site1!F125</f>
        <v>0</v>
      </c>
      <c r="S105" s="6">
        <f>Site1!G125</f>
        <v>0</v>
      </c>
      <c r="T105" s="6">
        <f>Site1!H125</f>
        <v>0</v>
      </c>
      <c r="U105" s="6">
        <f>Site1!I125</f>
        <v>0</v>
      </c>
      <c r="V105" s="6">
        <f>Site1!J125</f>
        <v>0</v>
      </c>
      <c r="W105" s="6">
        <f>Site1!K125</f>
        <v>0</v>
      </c>
      <c r="X105" s="6">
        <f>Site1!L125</f>
        <v>0</v>
      </c>
      <c r="Y105" s="6">
        <f>Site1!M125</f>
        <v>0</v>
      </c>
      <c r="Z105" s="6">
        <f>Site1!N125</f>
        <v>0</v>
      </c>
      <c r="AA105" s="6">
        <f>Site1!O125</f>
        <v>0</v>
      </c>
      <c r="AB105" s="6">
        <f>Site1!P125</f>
        <v>0</v>
      </c>
      <c r="AD105" s="6">
        <f>Site2!E125</f>
        <v>0</v>
      </c>
      <c r="AE105" s="6">
        <f>Site2!F125</f>
        <v>0</v>
      </c>
      <c r="AF105" s="6">
        <f>Site2!G125</f>
        <v>0</v>
      </c>
      <c r="AG105" s="6">
        <f>Site2!H125</f>
        <v>0</v>
      </c>
      <c r="AH105" s="6">
        <f>Site2!I125</f>
        <v>0</v>
      </c>
      <c r="AI105" s="6">
        <f>Site2!J125</f>
        <v>0</v>
      </c>
      <c r="AJ105" s="6">
        <f>Site2!K125</f>
        <v>0</v>
      </c>
      <c r="AK105" s="6">
        <f>Site2!L125</f>
        <v>0</v>
      </c>
      <c r="AL105" s="6">
        <f>Site2!M125</f>
        <v>0</v>
      </c>
      <c r="AM105" s="6">
        <f>Site2!N125</f>
        <v>0</v>
      </c>
      <c r="AN105" s="6">
        <f>Site2!O125</f>
        <v>0</v>
      </c>
      <c r="AO105" s="6">
        <f>Site2!P125</f>
        <v>0</v>
      </c>
      <c r="AQ105" s="6">
        <f>Site3!E125</f>
        <v>0</v>
      </c>
      <c r="AR105" s="6">
        <f>Site3!F125</f>
        <v>0</v>
      </c>
      <c r="AS105" s="6">
        <f>Site3!G125</f>
        <v>0</v>
      </c>
      <c r="AT105" s="6">
        <f>Site3!H125</f>
        <v>0</v>
      </c>
      <c r="AU105" s="6">
        <f>Site3!I125</f>
        <v>0</v>
      </c>
      <c r="AV105" s="6">
        <f>Site3!J125</f>
        <v>0</v>
      </c>
      <c r="AW105" s="6">
        <f>Site3!K125</f>
        <v>0</v>
      </c>
      <c r="AX105" s="6">
        <f>Site3!L125</f>
        <v>0</v>
      </c>
      <c r="AY105" s="6">
        <f>Site3!M125</f>
        <v>0</v>
      </c>
      <c r="AZ105" s="6">
        <f>Site3!N125</f>
        <v>0</v>
      </c>
      <c r="BA105" s="6">
        <f>Site3!O125</f>
        <v>0</v>
      </c>
      <c r="BB105" s="6">
        <f>Site3!P125</f>
        <v>0</v>
      </c>
      <c r="BD105" s="6">
        <f>Site4!E125</f>
        <v>0</v>
      </c>
      <c r="BE105" s="6">
        <f>Site4!F125</f>
        <v>0</v>
      </c>
      <c r="BF105" s="6">
        <f>Site4!G125</f>
        <v>0</v>
      </c>
      <c r="BG105" s="6">
        <f>Site4!H125</f>
        <v>0</v>
      </c>
      <c r="BH105" s="6">
        <f>Site4!I125</f>
        <v>0</v>
      </c>
      <c r="BI105" s="6">
        <f>Site4!J125</f>
        <v>0</v>
      </c>
      <c r="BJ105" s="6">
        <f>Site4!K125</f>
        <v>0</v>
      </c>
      <c r="BK105" s="6">
        <f>Site4!L125</f>
        <v>0</v>
      </c>
      <c r="BL105" s="6">
        <f>Site4!M125</f>
        <v>0</v>
      </c>
      <c r="BM105" s="6">
        <f>Site4!N125</f>
        <v>0</v>
      </c>
      <c r="BN105" s="6">
        <f>Site4!O125</f>
        <v>0</v>
      </c>
      <c r="BO105" s="6">
        <f>Site4!P125</f>
        <v>0</v>
      </c>
      <c r="BQ105" s="6">
        <f>Site5!E125</f>
        <v>0</v>
      </c>
      <c r="BR105" s="6">
        <f>Site5!F125</f>
        <v>0</v>
      </c>
      <c r="BS105" s="6">
        <f>Site5!G125</f>
        <v>0</v>
      </c>
      <c r="BT105" s="6">
        <f>Site5!H125</f>
        <v>0</v>
      </c>
      <c r="BU105" s="6">
        <f>Site5!I125</f>
        <v>0</v>
      </c>
      <c r="BV105" s="6">
        <f>Site5!J125</f>
        <v>0</v>
      </c>
      <c r="BW105" s="6">
        <f>Site5!K125</f>
        <v>0</v>
      </c>
      <c r="BX105" s="6">
        <f>Site5!L125</f>
        <v>0</v>
      </c>
      <c r="BY105" s="6">
        <f>Site5!M125</f>
        <v>0</v>
      </c>
      <c r="BZ105" s="6">
        <f>Site5!N125</f>
        <v>0</v>
      </c>
      <c r="CA105" s="6">
        <f>Site5!O125</f>
        <v>0</v>
      </c>
      <c r="CB105" s="6">
        <f>Site5!P125</f>
        <v>0</v>
      </c>
      <c r="CD105" s="6">
        <f>Site6!E125</f>
        <v>0</v>
      </c>
      <c r="CE105" s="6">
        <f>Site6!F125</f>
        <v>0</v>
      </c>
      <c r="CF105" s="6">
        <f>Site6!G125</f>
        <v>0</v>
      </c>
      <c r="CG105" s="6">
        <f>Site6!H125</f>
        <v>0</v>
      </c>
      <c r="CH105" s="6">
        <f>Site6!I125</f>
        <v>0</v>
      </c>
      <c r="CI105" s="6">
        <f>Site6!J125</f>
        <v>0</v>
      </c>
      <c r="CJ105" s="6">
        <f>Site6!K125</f>
        <v>0</v>
      </c>
      <c r="CK105" s="6">
        <f>Site6!L125</f>
        <v>0</v>
      </c>
      <c r="CL105" s="6">
        <f>Site6!M125</f>
        <v>0</v>
      </c>
      <c r="CM105" s="6">
        <f>Site6!N125</f>
        <v>0</v>
      </c>
      <c r="CN105" s="6">
        <f>Site6!O125</f>
        <v>0</v>
      </c>
      <c r="CO105" s="6">
        <f>Site6!P125</f>
        <v>0</v>
      </c>
    </row>
    <row r="106" spans="1:107" s="30" customFormat="1" collapsed="1" x14ac:dyDescent="0.25">
      <c r="A106" s="101">
        <v>500</v>
      </c>
      <c r="B106" s="274" t="s">
        <v>580</v>
      </c>
      <c r="D106" s="260">
        <f t="shared" si="22"/>
        <v>11496</v>
      </c>
      <c r="E106" s="260">
        <f t="shared" si="23"/>
        <v>8658.7199999999993</v>
      </c>
      <c r="F106" s="260">
        <f t="shared" si="24"/>
        <v>11242.559999999998</v>
      </c>
      <c r="G106" s="260">
        <f t="shared" si="25"/>
        <v>11451.84</v>
      </c>
      <c r="H106" s="260">
        <f t="shared" si="26"/>
        <v>11661.12</v>
      </c>
      <c r="I106" s="260">
        <f t="shared" si="27"/>
        <v>11870.400000000001</v>
      </c>
      <c r="J106" s="260">
        <f t="shared" si="28"/>
        <v>12079.680000000002</v>
      </c>
      <c r="K106" s="260">
        <f t="shared" si="29"/>
        <v>12288.960000000001</v>
      </c>
      <c r="L106" s="260">
        <f t="shared" si="30"/>
        <v>12498.24</v>
      </c>
      <c r="M106" s="260">
        <f t="shared" si="31"/>
        <v>12707.52</v>
      </c>
      <c r="N106" s="260">
        <f t="shared" si="32"/>
        <v>12916.800000000001</v>
      </c>
      <c r="O106" s="260">
        <f t="shared" si="33"/>
        <v>13126.08</v>
      </c>
      <c r="Q106" s="261">
        <f>Site1!E126</f>
        <v>3280</v>
      </c>
      <c r="R106" s="261">
        <f>Site1!F126</f>
        <v>2325.6000000000004</v>
      </c>
      <c r="S106" s="261">
        <f>Site1!G126</f>
        <v>2371.1999999999998</v>
      </c>
      <c r="T106" s="261">
        <f>Site1!H126</f>
        <v>2416.8000000000002</v>
      </c>
      <c r="U106" s="261">
        <f>Site1!I126</f>
        <v>2462.4</v>
      </c>
      <c r="V106" s="261">
        <f>Site1!J126</f>
        <v>2508</v>
      </c>
      <c r="W106" s="261">
        <f>Site1!K126</f>
        <v>2553.6000000000004</v>
      </c>
      <c r="X106" s="261">
        <f>Site1!L126</f>
        <v>2599.2000000000003</v>
      </c>
      <c r="Y106" s="261">
        <f>Site1!M126</f>
        <v>2644.7999999999997</v>
      </c>
      <c r="Z106" s="261">
        <f>Site1!N126</f>
        <v>2690.3999999999996</v>
      </c>
      <c r="AA106" s="261">
        <f>Site1!O126</f>
        <v>2736</v>
      </c>
      <c r="AB106" s="261">
        <f>Site1!P126</f>
        <v>2781.6</v>
      </c>
      <c r="AD106" s="261">
        <f>Site2!E126</f>
        <v>2328</v>
      </c>
      <c r="AE106" s="261">
        <f>Site2!F126</f>
        <v>2374.56</v>
      </c>
      <c r="AF106" s="261">
        <f>Site2!G126</f>
        <v>2421.12</v>
      </c>
      <c r="AG106" s="261">
        <f>Site2!H126</f>
        <v>2467.6800000000003</v>
      </c>
      <c r="AH106" s="261">
        <f>Site2!I126</f>
        <v>2514.2400000000002</v>
      </c>
      <c r="AI106" s="261">
        <f>Site2!J126</f>
        <v>2560.8000000000002</v>
      </c>
      <c r="AJ106" s="261">
        <f>Site2!K126</f>
        <v>2607.3600000000006</v>
      </c>
      <c r="AK106" s="261">
        <f>Site2!L126</f>
        <v>2653.9200000000005</v>
      </c>
      <c r="AL106" s="261">
        <f>Site2!M126</f>
        <v>2700.48</v>
      </c>
      <c r="AM106" s="261">
        <f>Site2!N126</f>
        <v>2747.04</v>
      </c>
      <c r="AN106" s="261">
        <f>Site2!O126</f>
        <v>2793.6</v>
      </c>
      <c r="AO106" s="261">
        <f>Site2!P126</f>
        <v>2840.16</v>
      </c>
      <c r="AQ106" s="261">
        <f>Site3!E126</f>
        <v>1960</v>
      </c>
      <c r="AR106" s="261">
        <f>Site3!F126</f>
        <v>972</v>
      </c>
      <c r="AS106" s="261">
        <f>Site3!G126</f>
        <v>984</v>
      </c>
      <c r="AT106" s="261">
        <f>Site3!H126</f>
        <v>996</v>
      </c>
      <c r="AU106" s="261">
        <f>Site3!I126</f>
        <v>1008</v>
      </c>
      <c r="AV106" s="261">
        <f>Site3!J126</f>
        <v>1020.0000000000001</v>
      </c>
      <c r="AW106" s="261">
        <f>Site3!K126</f>
        <v>1032</v>
      </c>
      <c r="AX106" s="261">
        <f>Site3!L126</f>
        <v>1044</v>
      </c>
      <c r="AY106" s="261">
        <f>Site3!M126</f>
        <v>1056</v>
      </c>
      <c r="AZ106" s="261">
        <f>Site3!N126</f>
        <v>1068</v>
      </c>
      <c r="BA106" s="261">
        <f>Site3!O126</f>
        <v>1080</v>
      </c>
      <c r="BB106" s="261">
        <f>Site3!P126</f>
        <v>1092</v>
      </c>
      <c r="BD106" s="261">
        <f>Site4!E126</f>
        <v>2328</v>
      </c>
      <c r="BE106" s="261">
        <f>Site4!F126</f>
        <v>2374.56</v>
      </c>
      <c r="BF106" s="261">
        <f>Site4!G126</f>
        <v>2421.12</v>
      </c>
      <c r="BG106" s="261">
        <f>Site4!H126</f>
        <v>2467.6800000000003</v>
      </c>
      <c r="BH106" s="261">
        <f>Site4!I126</f>
        <v>2514.2400000000002</v>
      </c>
      <c r="BI106" s="261">
        <f>Site4!J126</f>
        <v>2560.8000000000002</v>
      </c>
      <c r="BJ106" s="261">
        <f>Site4!K126</f>
        <v>2607.3600000000006</v>
      </c>
      <c r="BK106" s="261">
        <f>Site4!L126</f>
        <v>2653.9200000000005</v>
      </c>
      <c r="BL106" s="261">
        <f>Site4!M126</f>
        <v>2700.48</v>
      </c>
      <c r="BM106" s="261">
        <f>Site4!N126</f>
        <v>2747.04</v>
      </c>
      <c r="BN106" s="261">
        <f>Site4!O126</f>
        <v>2793.6</v>
      </c>
      <c r="BO106" s="261">
        <f>Site4!P126</f>
        <v>2840.16</v>
      </c>
      <c r="BQ106" s="261">
        <f>Site5!E126</f>
        <v>1600</v>
      </c>
      <c r="BR106" s="261">
        <f>Site5!F126</f>
        <v>612</v>
      </c>
      <c r="BS106" s="261">
        <f>Site5!G126</f>
        <v>624</v>
      </c>
      <c r="BT106" s="261">
        <f>Site5!H126</f>
        <v>636</v>
      </c>
      <c r="BU106" s="261">
        <f>Site5!I126</f>
        <v>648</v>
      </c>
      <c r="BV106" s="261">
        <f>Site5!J126</f>
        <v>660.00000000000011</v>
      </c>
      <c r="BW106" s="261">
        <f>Site5!K126</f>
        <v>672.00000000000011</v>
      </c>
      <c r="BX106" s="261">
        <f>Site5!L126</f>
        <v>684.00000000000011</v>
      </c>
      <c r="BY106" s="261">
        <f>Site5!M126</f>
        <v>695.99999999999989</v>
      </c>
      <c r="BZ106" s="261">
        <f>Site5!N126</f>
        <v>708</v>
      </c>
      <c r="CA106" s="261">
        <f>Site5!O126</f>
        <v>720</v>
      </c>
      <c r="CB106" s="261">
        <f>Site5!P126</f>
        <v>732</v>
      </c>
      <c r="CD106" s="261">
        <f>Site6!E126</f>
        <v>0</v>
      </c>
      <c r="CE106" s="261">
        <f>Site6!F126</f>
        <v>0</v>
      </c>
      <c r="CF106" s="261">
        <f>Site6!G126</f>
        <v>2421.12</v>
      </c>
      <c r="CG106" s="261">
        <f>Site6!H126</f>
        <v>2467.6800000000003</v>
      </c>
      <c r="CH106" s="261">
        <f>Site6!I126</f>
        <v>2514.2400000000002</v>
      </c>
      <c r="CI106" s="261">
        <f>Site6!J126</f>
        <v>2560.8000000000002</v>
      </c>
      <c r="CJ106" s="261">
        <f>Site6!K126</f>
        <v>2607.3600000000006</v>
      </c>
      <c r="CK106" s="261">
        <f>Site6!L126</f>
        <v>2653.9200000000005</v>
      </c>
      <c r="CL106" s="261">
        <f>Site6!M126</f>
        <v>2700.48</v>
      </c>
      <c r="CM106" s="261">
        <f>Site6!N126</f>
        <v>2747.04</v>
      </c>
      <c r="CN106" s="261">
        <f>Site6!O126</f>
        <v>2793.6</v>
      </c>
      <c r="CO106" s="261">
        <f>Site6!P126</f>
        <v>2840.16</v>
      </c>
    </row>
    <row r="107" spans="1:107" hidden="1" outlineLevel="1" x14ac:dyDescent="0.25">
      <c r="A107" s="100">
        <v>6521</v>
      </c>
      <c r="B107" s="18" t="s">
        <v>449</v>
      </c>
      <c r="D107" s="154">
        <f t="shared" si="22"/>
        <v>3300</v>
      </c>
      <c r="E107" s="154">
        <f t="shared" si="23"/>
        <v>3433</v>
      </c>
      <c r="F107" s="154">
        <f t="shared" si="24"/>
        <v>3569</v>
      </c>
      <c r="G107" s="154">
        <f t="shared" si="25"/>
        <v>3708</v>
      </c>
      <c r="H107" s="154">
        <f t="shared" si="26"/>
        <v>3849</v>
      </c>
      <c r="I107" s="154">
        <f t="shared" si="27"/>
        <v>3993</v>
      </c>
      <c r="J107" s="154">
        <f t="shared" si="28"/>
        <v>4152</v>
      </c>
      <c r="K107" s="154">
        <f t="shared" si="29"/>
        <v>4314</v>
      </c>
      <c r="L107" s="154">
        <f t="shared" si="30"/>
        <v>4479</v>
      </c>
      <c r="M107" s="154">
        <f t="shared" si="31"/>
        <v>4647</v>
      </c>
      <c r="N107" s="154">
        <f t="shared" si="32"/>
        <v>4818</v>
      </c>
      <c r="O107" s="154">
        <f t="shared" si="33"/>
        <v>4992</v>
      </c>
      <c r="Q107" s="6">
        <f>Site1!E127</f>
        <v>3300</v>
      </c>
      <c r="R107" s="6">
        <f>Site1!F127</f>
        <v>3433</v>
      </c>
      <c r="S107" s="6">
        <f>Site1!G127</f>
        <v>3569</v>
      </c>
      <c r="T107" s="6">
        <f>Site1!H127</f>
        <v>3708</v>
      </c>
      <c r="U107" s="6">
        <f>Site1!I127</f>
        <v>3849</v>
      </c>
      <c r="V107" s="6">
        <f>Site1!J127</f>
        <v>3993</v>
      </c>
      <c r="W107" s="6">
        <f>Site1!K127</f>
        <v>4152</v>
      </c>
      <c r="X107" s="6">
        <f>Site1!L127</f>
        <v>4314</v>
      </c>
      <c r="Y107" s="6">
        <f>Site1!M127</f>
        <v>4479</v>
      </c>
      <c r="Z107" s="6">
        <f>Site1!N127</f>
        <v>4647</v>
      </c>
      <c r="AA107" s="6">
        <f>Site1!O127</f>
        <v>4818</v>
      </c>
      <c r="AB107" s="6">
        <f>Site1!P127</f>
        <v>4992</v>
      </c>
      <c r="AD107" s="6">
        <f>Site2!E127</f>
        <v>0</v>
      </c>
      <c r="AE107" s="6">
        <f>Site2!F127</f>
        <v>0</v>
      </c>
      <c r="AF107" s="6">
        <f>Site2!G127</f>
        <v>0</v>
      </c>
      <c r="AG107" s="6">
        <f>Site2!H127</f>
        <v>0</v>
      </c>
      <c r="AH107" s="6">
        <f>Site2!I127</f>
        <v>0</v>
      </c>
      <c r="AI107" s="6">
        <f>Site2!J127</f>
        <v>0</v>
      </c>
      <c r="AJ107" s="6">
        <f>Site2!K127</f>
        <v>0</v>
      </c>
      <c r="AK107" s="6">
        <f>Site2!L127</f>
        <v>0</v>
      </c>
      <c r="AL107" s="6">
        <f>Site2!M127</f>
        <v>0</v>
      </c>
      <c r="AM107" s="6">
        <f>Site2!N127</f>
        <v>0</v>
      </c>
      <c r="AN107" s="6">
        <f>Site2!O127</f>
        <v>0</v>
      </c>
      <c r="AO107" s="6">
        <f>Site2!P127</f>
        <v>0</v>
      </c>
      <c r="AQ107" s="6">
        <f>Site3!E127</f>
        <v>0</v>
      </c>
      <c r="AR107" s="6">
        <f>Site3!F127</f>
        <v>0</v>
      </c>
      <c r="AS107" s="6">
        <f>Site3!G127</f>
        <v>0</v>
      </c>
      <c r="AT107" s="6">
        <f>Site3!H127</f>
        <v>0</v>
      </c>
      <c r="AU107" s="6">
        <f>Site3!I127</f>
        <v>0</v>
      </c>
      <c r="AV107" s="6">
        <f>Site3!J127</f>
        <v>0</v>
      </c>
      <c r="AW107" s="6">
        <f>Site3!K127</f>
        <v>0</v>
      </c>
      <c r="AX107" s="6">
        <f>Site3!L127</f>
        <v>0</v>
      </c>
      <c r="AY107" s="6">
        <f>Site3!M127</f>
        <v>0</v>
      </c>
      <c r="AZ107" s="6">
        <f>Site3!N127</f>
        <v>0</v>
      </c>
      <c r="BA107" s="6">
        <f>Site3!O127</f>
        <v>0</v>
      </c>
      <c r="BB107" s="6">
        <f>Site3!P127</f>
        <v>0</v>
      </c>
      <c r="BD107" s="6">
        <f>Site4!E127</f>
        <v>0</v>
      </c>
      <c r="BE107" s="6">
        <f>Site4!F127</f>
        <v>0</v>
      </c>
      <c r="BF107" s="6">
        <f>Site4!G127</f>
        <v>0</v>
      </c>
      <c r="BG107" s="6">
        <f>Site4!H127</f>
        <v>0</v>
      </c>
      <c r="BH107" s="6">
        <f>Site4!I127</f>
        <v>0</v>
      </c>
      <c r="BI107" s="6">
        <f>Site4!J127</f>
        <v>0</v>
      </c>
      <c r="BJ107" s="6">
        <f>Site4!K127</f>
        <v>0</v>
      </c>
      <c r="BK107" s="6">
        <f>Site4!L127</f>
        <v>0</v>
      </c>
      <c r="BL107" s="6">
        <f>Site4!M127</f>
        <v>0</v>
      </c>
      <c r="BM107" s="6">
        <f>Site4!N127</f>
        <v>0</v>
      </c>
      <c r="BN107" s="6">
        <f>Site4!O127</f>
        <v>0</v>
      </c>
      <c r="BO107" s="6">
        <f>Site4!P127</f>
        <v>0</v>
      </c>
      <c r="BQ107" s="6">
        <f>Site5!E127</f>
        <v>0</v>
      </c>
      <c r="BR107" s="6">
        <f>Site5!F127</f>
        <v>0</v>
      </c>
      <c r="BS107" s="6">
        <f>Site5!G127</f>
        <v>0</v>
      </c>
      <c r="BT107" s="6">
        <f>Site5!H127</f>
        <v>0</v>
      </c>
      <c r="BU107" s="6">
        <f>Site5!I127</f>
        <v>0</v>
      </c>
      <c r="BV107" s="6">
        <f>Site5!J127</f>
        <v>0</v>
      </c>
      <c r="BW107" s="6">
        <f>Site5!K127</f>
        <v>0</v>
      </c>
      <c r="BX107" s="6">
        <f>Site5!L127</f>
        <v>0</v>
      </c>
      <c r="BY107" s="6">
        <f>Site5!M127</f>
        <v>0</v>
      </c>
      <c r="BZ107" s="6">
        <f>Site5!N127</f>
        <v>0</v>
      </c>
      <c r="CA107" s="6">
        <f>Site5!O127</f>
        <v>0</v>
      </c>
      <c r="CB107" s="6">
        <f>Site5!P127</f>
        <v>0</v>
      </c>
      <c r="CD107" s="6">
        <f>Site6!E127</f>
        <v>0</v>
      </c>
      <c r="CE107" s="6">
        <f>Site6!F127</f>
        <v>0</v>
      </c>
      <c r="CF107" s="6">
        <f>Site6!G127</f>
        <v>0</v>
      </c>
      <c r="CG107" s="6">
        <f>Site6!H127</f>
        <v>0</v>
      </c>
      <c r="CH107" s="6">
        <f>Site6!I127</f>
        <v>0</v>
      </c>
      <c r="CI107" s="6">
        <f>Site6!J127</f>
        <v>0</v>
      </c>
      <c r="CJ107" s="6">
        <f>Site6!K127</f>
        <v>0</v>
      </c>
      <c r="CK107" s="6">
        <f>Site6!L127</f>
        <v>0</v>
      </c>
      <c r="CL107" s="6">
        <f>Site6!M127</f>
        <v>0</v>
      </c>
      <c r="CM107" s="6">
        <f>Site6!N127</f>
        <v>0</v>
      </c>
      <c r="CN107" s="6">
        <f>Site6!O127</f>
        <v>0</v>
      </c>
      <c r="CO107" s="6">
        <f>Site6!P127</f>
        <v>0</v>
      </c>
    </row>
    <row r="108" spans="1:107" hidden="1" outlineLevel="1" x14ac:dyDescent="0.25">
      <c r="A108" s="100">
        <v>6522</v>
      </c>
      <c r="B108" s="18" t="s">
        <v>457</v>
      </c>
      <c r="D108" s="154">
        <f t="shared" si="22"/>
        <v>0</v>
      </c>
      <c r="E108" s="154">
        <f t="shared" si="23"/>
        <v>0</v>
      </c>
      <c r="F108" s="154">
        <f t="shared" si="24"/>
        <v>0</v>
      </c>
      <c r="G108" s="154">
        <f t="shared" si="25"/>
        <v>0</v>
      </c>
      <c r="H108" s="154">
        <f t="shared" si="26"/>
        <v>0</v>
      </c>
      <c r="I108" s="154">
        <f t="shared" si="27"/>
        <v>0</v>
      </c>
      <c r="J108" s="154">
        <f t="shared" si="28"/>
        <v>0</v>
      </c>
      <c r="K108" s="154">
        <f t="shared" si="29"/>
        <v>0</v>
      </c>
      <c r="L108" s="154">
        <f t="shared" si="30"/>
        <v>0</v>
      </c>
      <c r="M108" s="154">
        <f t="shared" si="31"/>
        <v>0</v>
      </c>
      <c r="N108" s="154">
        <f t="shared" si="32"/>
        <v>0</v>
      </c>
      <c r="O108" s="154">
        <f t="shared" si="33"/>
        <v>0</v>
      </c>
      <c r="Q108" s="6">
        <f>Site1!E128</f>
        <v>0</v>
      </c>
      <c r="R108" s="6">
        <f>Site1!F128</f>
        <v>0</v>
      </c>
      <c r="S108" s="6">
        <f>Site1!G128</f>
        <v>0</v>
      </c>
      <c r="T108" s="6">
        <f>Site1!H128</f>
        <v>0</v>
      </c>
      <c r="U108" s="6">
        <f>Site1!I128</f>
        <v>0</v>
      </c>
      <c r="V108" s="6">
        <f>Site1!J128</f>
        <v>0</v>
      </c>
      <c r="W108" s="6">
        <f>Site1!K128</f>
        <v>0</v>
      </c>
      <c r="X108" s="6">
        <f>Site1!L128</f>
        <v>0</v>
      </c>
      <c r="Y108" s="6">
        <f>Site1!M128</f>
        <v>0</v>
      </c>
      <c r="Z108" s="6">
        <f>Site1!N128</f>
        <v>0</v>
      </c>
      <c r="AA108" s="6">
        <f>Site1!O128</f>
        <v>0</v>
      </c>
      <c r="AB108" s="6">
        <f>Site1!P128</f>
        <v>0</v>
      </c>
      <c r="AD108" s="6">
        <f>Site2!E128</f>
        <v>0</v>
      </c>
      <c r="AE108" s="6">
        <f>Site2!F128</f>
        <v>0</v>
      </c>
      <c r="AF108" s="6">
        <f>Site2!G128</f>
        <v>0</v>
      </c>
      <c r="AG108" s="6">
        <f>Site2!H128</f>
        <v>0</v>
      </c>
      <c r="AH108" s="6">
        <f>Site2!I128</f>
        <v>0</v>
      </c>
      <c r="AI108" s="6">
        <f>Site2!J128</f>
        <v>0</v>
      </c>
      <c r="AJ108" s="6">
        <f>Site2!K128</f>
        <v>0</v>
      </c>
      <c r="AK108" s="6">
        <f>Site2!L128</f>
        <v>0</v>
      </c>
      <c r="AL108" s="6">
        <f>Site2!M128</f>
        <v>0</v>
      </c>
      <c r="AM108" s="6">
        <f>Site2!N128</f>
        <v>0</v>
      </c>
      <c r="AN108" s="6">
        <f>Site2!O128</f>
        <v>0</v>
      </c>
      <c r="AO108" s="6">
        <f>Site2!P128</f>
        <v>0</v>
      </c>
      <c r="AQ108" s="6">
        <f>Site3!E128</f>
        <v>0</v>
      </c>
      <c r="AR108" s="6">
        <f>Site3!F128</f>
        <v>0</v>
      </c>
      <c r="AS108" s="6">
        <f>Site3!G128</f>
        <v>0</v>
      </c>
      <c r="AT108" s="6">
        <f>Site3!H128</f>
        <v>0</v>
      </c>
      <c r="AU108" s="6">
        <f>Site3!I128</f>
        <v>0</v>
      </c>
      <c r="AV108" s="6">
        <f>Site3!J128</f>
        <v>0</v>
      </c>
      <c r="AW108" s="6">
        <f>Site3!K128</f>
        <v>0</v>
      </c>
      <c r="AX108" s="6">
        <f>Site3!L128</f>
        <v>0</v>
      </c>
      <c r="AY108" s="6">
        <f>Site3!M128</f>
        <v>0</v>
      </c>
      <c r="AZ108" s="6">
        <f>Site3!N128</f>
        <v>0</v>
      </c>
      <c r="BA108" s="6">
        <f>Site3!O128</f>
        <v>0</v>
      </c>
      <c r="BB108" s="6">
        <f>Site3!P128</f>
        <v>0</v>
      </c>
      <c r="BD108" s="6">
        <f>Site4!E128</f>
        <v>0</v>
      </c>
      <c r="BE108" s="6">
        <f>Site4!F128</f>
        <v>0</v>
      </c>
      <c r="BF108" s="6">
        <f>Site4!G128</f>
        <v>0</v>
      </c>
      <c r="BG108" s="6">
        <f>Site4!H128</f>
        <v>0</v>
      </c>
      <c r="BH108" s="6">
        <f>Site4!I128</f>
        <v>0</v>
      </c>
      <c r="BI108" s="6">
        <f>Site4!J128</f>
        <v>0</v>
      </c>
      <c r="BJ108" s="6">
        <f>Site4!K128</f>
        <v>0</v>
      </c>
      <c r="BK108" s="6">
        <f>Site4!L128</f>
        <v>0</v>
      </c>
      <c r="BL108" s="6">
        <f>Site4!M128</f>
        <v>0</v>
      </c>
      <c r="BM108" s="6">
        <f>Site4!N128</f>
        <v>0</v>
      </c>
      <c r="BN108" s="6">
        <f>Site4!O128</f>
        <v>0</v>
      </c>
      <c r="BO108" s="6">
        <f>Site4!P128</f>
        <v>0</v>
      </c>
      <c r="BQ108" s="6">
        <f>Site5!E128</f>
        <v>0</v>
      </c>
      <c r="BR108" s="6">
        <f>Site5!F128</f>
        <v>0</v>
      </c>
      <c r="BS108" s="6">
        <f>Site5!G128</f>
        <v>0</v>
      </c>
      <c r="BT108" s="6">
        <f>Site5!H128</f>
        <v>0</v>
      </c>
      <c r="BU108" s="6">
        <f>Site5!I128</f>
        <v>0</v>
      </c>
      <c r="BV108" s="6">
        <f>Site5!J128</f>
        <v>0</v>
      </c>
      <c r="BW108" s="6">
        <f>Site5!K128</f>
        <v>0</v>
      </c>
      <c r="BX108" s="6">
        <f>Site5!L128</f>
        <v>0</v>
      </c>
      <c r="BY108" s="6">
        <f>Site5!M128</f>
        <v>0</v>
      </c>
      <c r="BZ108" s="6">
        <f>Site5!N128</f>
        <v>0</v>
      </c>
      <c r="CA108" s="6">
        <f>Site5!O128</f>
        <v>0</v>
      </c>
      <c r="CB108" s="6">
        <f>Site5!P128</f>
        <v>0</v>
      </c>
      <c r="CD108" s="6">
        <f>Site6!E128</f>
        <v>0</v>
      </c>
      <c r="CE108" s="6">
        <f>Site6!F128</f>
        <v>0</v>
      </c>
      <c r="CF108" s="6">
        <f>Site6!G128</f>
        <v>0</v>
      </c>
      <c r="CG108" s="6">
        <f>Site6!H128</f>
        <v>0</v>
      </c>
      <c r="CH108" s="6">
        <f>Site6!I128</f>
        <v>0</v>
      </c>
      <c r="CI108" s="6">
        <f>Site6!J128</f>
        <v>0</v>
      </c>
      <c r="CJ108" s="6">
        <f>Site6!K128</f>
        <v>0</v>
      </c>
      <c r="CK108" s="6">
        <f>Site6!L128</f>
        <v>0</v>
      </c>
      <c r="CL108" s="6">
        <f>Site6!M128</f>
        <v>0</v>
      </c>
      <c r="CM108" s="6">
        <f>Site6!N128</f>
        <v>0</v>
      </c>
      <c r="CN108" s="6">
        <f>Site6!O128</f>
        <v>0</v>
      </c>
      <c r="CO108" s="6">
        <f>Site6!P128</f>
        <v>0</v>
      </c>
    </row>
    <row r="109" spans="1:107" hidden="1" outlineLevel="1" x14ac:dyDescent="0.25">
      <c r="A109" s="100">
        <v>6522</v>
      </c>
      <c r="B109" s="18" t="s">
        <v>458</v>
      </c>
      <c r="D109" s="154">
        <f t="shared" si="22"/>
        <v>0</v>
      </c>
      <c r="E109" s="154">
        <f t="shared" si="23"/>
        <v>0</v>
      </c>
      <c r="F109" s="154">
        <f t="shared" si="24"/>
        <v>0</v>
      </c>
      <c r="G109" s="154">
        <f t="shared" si="25"/>
        <v>0</v>
      </c>
      <c r="H109" s="154">
        <f t="shared" si="26"/>
        <v>0</v>
      </c>
      <c r="I109" s="154">
        <f t="shared" si="27"/>
        <v>0</v>
      </c>
      <c r="J109" s="154">
        <f t="shared" si="28"/>
        <v>0</v>
      </c>
      <c r="K109" s="154">
        <f t="shared" si="29"/>
        <v>0</v>
      </c>
      <c r="L109" s="154">
        <f t="shared" si="30"/>
        <v>0</v>
      </c>
      <c r="M109" s="154">
        <f t="shared" si="31"/>
        <v>0</v>
      </c>
      <c r="N109" s="154">
        <f t="shared" si="32"/>
        <v>0</v>
      </c>
      <c r="O109" s="154">
        <f t="shared" si="33"/>
        <v>0</v>
      </c>
      <c r="Q109" s="6">
        <f>Site1!E129</f>
        <v>0</v>
      </c>
      <c r="R109" s="6">
        <f>Site1!F129</f>
        <v>0</v>
      </c>
      <c r="S109" s="6">
        <f>Site1!G129</f>
        <v>0</v>
      </c>
      <c r="T109" s="6">
        <f>Site1!H129</f>
        <v>0</v>
      </c>
      <c r="U109" s="6">
        <f>Site1!I129</f>
        <v>0</v>
      </c>
      <c r="V109" s="6">
        <f>Site1!J129</f>
        <v>0</v>
      </c>
      <c r="W109" s="6">
        <f>Site1!K129</f>
        <v>0</v>
      </c>
      <c r="X109" s="6">
        <f>Site1!L129</f>
        <v>0</v>
      </c>
      <c r="Y109" s="6">
        <f>Site1!M129</f>
        <v>0</v>
      </c>
      <c r="Z109" s="6">
        <f>Site1!N129</f>
        <v>0</v>
      </c>
      <c r="AA109" s="6">
        <f>Site1!O129</f>
        <v>0</v>
      </c>
      <c r="AB109" s="6">
        <f>Site1!P129</f>
        <v>0</v>
      </c>
      <c r="AD109" s="6">
        <f>Site2!E129</f>
        <v>0</v>
      </c>
      <c r="AE109" s="6">
        <f>Site2!F129</f>
        <v>0</v>
      </c>
      <c r="AF109" s="6">
        <f>Site2!G129</f>
        <v>0</v>
      </c>
      <c r="AG109" s="6">
        <f>Site2!H129</f>
        <v>0</v>
      </c>
      <c r="AH109" s="6">
        <f>Site2!I129</f>
        <v>0</v>
      </c>
      <c r="AI109" s="6">
        <f>Site2!J129</f>
        <v>0</v>
      </c>
      <c r="AJ109" s="6">
        <f>Site2!K129</f>
        <v>0</v>
      </c>
      <c r="AK109" s="6">
        <f>Site2!L129</f>
        <v>0</v>
      </c>
      <c r="AL109" s="6">
        <f>Site2!M129</f>
        <v>0</v>
      </c>
      <c r="AM109" s="6">
        <f>Site2!N129</f>
        <v>0</v>
      </c>
      <c r="AN109" s="6">
        <f>Site2!O129</f>
        <v>0</v>
      </c>
      <c r="AO109" s="6">
        <f>Site2!P129</f>
        <v>0</v>
      </c>
      <c r="AQ109" s="6">
        <f>Site3!E129</f>
        <v>0</v>
      </c>
      <c r="AR109" s="6">
        <f>Site3!F129</f>
        <v>0</v>
      </c>
      <c r="AS109" s="6">
        <f>Site3!G129</f>
        <v>0</v>
      </c>
      <c r="AT109" s="6">
        <f>Site3!H129</f>
        <v>0</v>
      </c>
      <c r="AU109" s="6">
        <f>Site3!I129</f>
        <v>0</v>
      </c>
      <c r="AV109" s="6">
        <f>Site3!J129</f>
        <v>0</v>
      </c>
      <c r="AW109" s="6">
        <f>Site3!K129</f>
        <v>0</v>
      </c>
      <c r="AX109" s="6">
        <f>Site3!L129</f>
        <v>0</v>
      </c>
      <c r="AY109" s="6">
        <f>Site3!M129</f>
        <v>0</v>
      </c>
      <c r="AZ109" s="6">
        <f>Site3!N129</f>
        <v>0</v>
      </c>
      <c r="BA109" s="6">
        <f>Site3!O129</f>
        <v>0</v>
      </c>
      <c r="BB109" s="6">
        <f>Site3!P129</f>
        <v>0</v>
      </c>
      <c r="BD109" s="6">
        <f>Site4!E129</f>
        <v>0</v>
      </c>
      <c r="BE109" s="6">
        <f>Site4!F129</f>
        <v>0</v>
      </c>
      <c r="BF109" s="6">
        <f>Site4!G129</f>
        <v>0</v>
      </c>
      <c r="BG109" s="6">
        <f>Site4!H129</f>
        <v>0</v>
      </c>
      <c r="BH109" s="6">
        <f>Site4!I129</f>
        <v>0</v>
      </c>
      <c r="BI109" s="6">
        <f>Site4!J129</f>
        <v>0</v>
      </c>
      <c r="BJ109" s="6">
        <f>Site4!K129</f>
        <v>0</v>
      </c>
      <c r="BK109" s="6">
        <f>Site4!L129</f>
        <v>0</v>
      </c>
      <c r="BL109" s="6">
        <f>Site4!M129</f>
        <v>0</v>
      </c>
      <c r="BM109" s="6">
        <f>Site4!N129</f>
        <v>0</v>
      </c>
      <c r="BN109" s="6">
        <f>Site4!O129</f>
        <v>0</v>
      </c>
      <c r="BO109" s="6">
        <f>Site4!P129</f>
        <v>0</v>
      </c>
      <c r="BQ109" s="6">
        <f>Site5!E129</f>
        <v>0</v>
      </c>
      <c r="BR109" s="6">
        <f>Site5!F129</f>
        <v>0</v>
      </c>
      <c r="BS109" s="6">
        <f>Site5!G129</f>
        <v>0</v>
      </c>
      <c r="BT109" s="6">
        <f>Site5!H129</f>
        <v>0</v>
      </c>
      <c r="BU109" s="6">
        <f>Site5!I129</f>
        <v>0</v>
      </c>
      <c r="BV109" s="6">
        <f>Site5!J129</f>
        <v>0</v>
      </c>
      <c r="BW109" s="6">
        <f>Site5!K129</f>
        <v>0</v>
      </c>
      <c r="BX109" s="6">
        <f>Site5!L129</f>
        <v>0</v>
      </c>
      <c r="BY109" s="6">
        <f>Site5!M129</f>
        <v>0</v>
      </c>
      <c r="BZ109" s="6">
        <f>Site5!N129</f>
        <v>0</v>
      </c>
      <c r="CA109" s="6">
        <f>Site5!O129</f>
        <v>0</v>
      </c>
      <c r="CB109" s="6">
        <f>Site5!P129</f>
        <v>0</v>
      </c>
      <c r="CD109" s="6">
        <f>Site6!E129</f>
        <v>0</v>
      </c>
      <c r="CE109" s="6">
        <f>Site6!F129</f>
        <v>0</v>
      </c>
      <c r="CF109" s="6">
        <f>Site6!G129</f>
        <v>0</v>
      </c>
      <c r="CG109" s="6">
        <f>Site6!H129</f>
        <v>0</v>
      </c>
      <c r="CH109" s="6">
        <f>Site6!I129</f>
        <v>0</v>
      </c>
      <c r="CI109" s="6">
        <f>Site6!J129</f>
        <v>0</v>
      </c>
      <c r="CJ109" s="6">
        <f>Site6!K129</f>
        <v>0</v>
      </c>
      <c r="CK109" s="6">
        <f>Site6!L129</f>
        <v>0</v>
      </c>
      <c r="CL109" s="6">
        <f>Site6!M129</f>
        <v>0</v>
      </c>
      <c r="CM109" s="6">
        <f>Site6!N129</f>
        <v>0</v>
      </c>
      <c r="CN109" s="6">
        <f>Site6!O129</f>
        <v>0</v>
      </c>
      <c r="CO109" s="6">
        <f>Site6!P129</f>
        <v>0</v>
      </c>
    </row>
    <row r="110" spans="1:107" hidden="1" outlineLevel="1" x14ac:dyDescent="0.25">
      <c r="A110" s="100">
        <v>6523</v>
      </c>
      <c r="B110" s="18" t="s">
        <v>450</v>
      </c>
      <c r="D110" s="154">
        <f t="shared" si="22"/>
        <v>0</v>
      </c>
      <c r="E110" s="154">
        <f t="shared" si="23"/>
        <v>0</v>
      </c>
      <c r="F110" s="154">
        <f t="shared" si="24"/>
        <v>0</v>
      </c>
      <c r="G110" s="154">
        <f t="shared" si="25"/>
        <v>0</v>
      </c>
      <c r="H110" s="154">
        <f t="shared" si="26"/>
        <v>0</v>
      </c>
      <c r="I110" s="154">
        <f t="shared" si="27"/>
        <v>0</v>
      </c>
      <c r="J110" s="154">
        <f t="shared" si="28"/>
        <v>0</v>
      </c>
      <c r="K110" s="154">
        <f t="shared" si="29"/>
        <v>0</v>
      </c>
      <c r="L110" s="154">
        <f t="shared" si="30"/>
        <v>0</v>
      </c>
      <c r="M110" s="154">
        <f t="shared" si="31"/>
        <v>0</v>
      </c>
      <c r="N110" s="154">
        <f t="shared" si="32"/>
        <v>0</v>
      </c>
      <c r="O110" s="154">
        <f t="shared" si="33"/>
        <v>0</v>
      </c>
      <c r="Q110" s="6">
        <f>Site1!E130</f>
        <v>0</v>
      </c>
      <c r="R110" s="6">
        <f>Site1!F130</f>
        <v>0</v>
      </c>
      <c r="S110" s="6">
        <f>Site1!G130</f>
        <v>0</v>
      </c>
      <c r="T110" s="6">
        <f>Site1!H130</f>
        <v>0</v>
      </c>
      <c r="U110" s="6">
        <f>Site1!I130</f>
        <v>0</v>
      </c>
      <c r="V110" s="6">
        <f>Site1!J130</f>
        <v>0</v>
      </c>
      <c r="W110" s="6">
        <f>Site1!K130</f>
        <v>0</v>
      </c>
      <c r="X110" s="6">
        <f>Site1!L130</f>
        <v>0</v>
      </c>
      <c r="Y110" s="6">
        <f>Site1!M130</f>
        <v>0</v>
      </c>
      <c r="Z110" s="6">
        <f>Site1!N130</f>
        <v>0</v>
      </c>
      <c r="AA110" s="6">
        <f>Site1!O130</f>
        <v>0</v>
      </c>
      <c r="AB110" s="6">
        <f>Site1!P130</f>
        <v>0</v>
      </c>
      <c r="AD110" s="6">
        <f>Site2!E130</f>
        <v>0</v>
      </c>
      <c r="AE110" s="6">
        <f>Site2!F130</f>
        <v>0</v>
      </c>
      <c r="AF110" s="6">
        <f>Site2!G130</f>
        <v>0</v>
      </c>
      <c r="AG110" s="6">
        <f>Site2!H130</f>
        <v>0</v>
      </c>
      <c r="AH110" s="6">
        <f>Site2!I130</f>
        <v>0</v>
      </c>
      <c r="AI110" s="6">
        <f>Site2!J130</f>
        <v>0</v>
      </c>
      <c r="AJ110" s="6">
        <f>Site2!K130</f>
        <v>0</v>
      </c>
      <c r="AK110" s="6">
        <f>Site2!L130</f>
        <v>0</v>
      </c>
      <c r="AL110" s="6">
        <f>Site2!M130</f>
        <v>0</v>
      </c>
      <c r="AM110" s="6">
        <f>Site2!N130</f>
        <v>0</v>
      </c>
      <c r="AN110" s="6">
        <f>Site2!O130</f>
        <v>0</v>
      </c>
      <c r="AO110" s="6">
        <f>Site2!P130</f>
        <v>0</v>
      </c>
      <c r="AQ110" s="6">
        <f>Site3!E130</f>
        <v>0</v>
      </c>
      <c r="AR110" s="6">
        <f>Site3!F130</f>
        <v>0</v>
      </c>
      <c r="AS110" s="6">
        <f>Site3!G130</f>
        <v>0</v>
      </c>
      <c r="AT110" s="6">
        <f>Site3!H130</f>
        <v>0</v>
      </c>
      <c r="AU110" s="6">
        <f>Site3!I130</f>
        <v>0</v>
      </c>
      <c r="AV110" s="6">
        <f>Site3!J130</f>
        <v>0</v>
      </c>
      <c r="AW110" s="6">
        <f>Site3!K130</f>
        <v>0</v>
      </c>
      <c r="AX110" s="6">
        <f>Site3!L130</f>
        <v>0</v>
      </c>
      <c r="AY110" s="6">
        <f>Site3!M130</f>
        <v>0</v>
      </c>
      <c r="AZ110" s="6">
        <f>Site3!N130</f>
        <v>0</v>
      </c>
      <c r="BA110" s="6">
        <f>Site3!O130</f>
        <v>0</v>
      </c>
      <c r="BB110" s="6">
        <f>Site3!P130</f>
        <v>0</v>
      </c>
      <c r="BD110" s="6">
        <f>Site4!E130</f>
        <v>0</v>
      </c>
      <c r="BE110" s="6">
        <f>Site4!F130</f>
        <v>0</v>
      </c>
      <c r="BF110" s="6">
        <f>Site4!G130</f>
        <v>0</v>
      </c>
      <c r="BG110" s="6">
        <f>Site4!H130</f>
        <v>0</v>
      </c>
      <c r="BH110" s="6">
        <f>Site4!I130</f>
        <v>0</v>
      </c>
      <c r="BI110" s="6">
        <f>Site4!J130</f>
        <v>0</v>
      </c>
      <c r="BJ110" s="6">
        <f>Site4!K130</f>
        <v>0</v>
      </c>
      <c r="BK110" s="6">
        <f>Site4!L130</f>
        <v>0</v>
      </c>
      <c r="BL110" s="6">
        <f>Site4!M130</f>
        <v>0</v>
      </c>
      <c r="BM110" s="6">
        <f>Site4!N130</f>
        <v>0</v>
      </c>
      <c r="BN110" s="6">
        <f>Site4!O130</f>
        <v>0</v>
      </c>
      <c r="BO110" s="6">
        <f>Site4!P130</f>
        <v>0</v>
      </c>
      <c r="BQ110" s="6">
        <f>Site5!E130</f>
        <v>0</v>
      </c>
      <c r="BR110" s="6">
        <f>Site5!F130</f>
        <v>0</v>
      </c>
      <c r="BS110" s="6">
        <f>Site5!G130</f>
        <v>0</v>
      </c>
      <c r="BT110" s="6">
        <f>Site5!H130</f>
        <v>0</v>
      </c>
      <c r="BU110" s="6">
        <f>Site5!I130</f>
        <v>0</v>
      </c>
      <c r="BV110" s="6">
        <f>Site5!J130</f>
        <v>0</v>
      </c>
      <c r="BW110" s="6">
        <f>Site5!K130</f>
        <v>0</v>
      </c>
      <c r="BX110" s="6">
        <f>Site5!L130</f>
        <v>0</v>
      </c>
      <c r="BY110" s="6">
        <f>Site5!M130</f>
        <v>0</v>
      </c>
      <c r="BZ110" s="6">
        <f>Site5!N130</f>
        <v>0</v>
      </c>
      <c r="CA110" s="6">
        <f>Site5!O130</f>
        <v>0</v>
      </c>
      <c r="CB110" s="6">
        <f>Site5!P130</f>
        <v>0</v>
      </c>
      <c r="CD110" s="6">
        <f>Site6!E130</f>
        <v>0</v>
      </c>
      <c r="CE110" s="6">
        <f>Site6!F130</f>
        <v>0</v>
      </c>
      <c r="CF110" s="6">
        <f>Site6!G130</f>
        <v>0</v>
      </c>
      <c r="CG110" s="6">
        <f>Site6!H130</f>
        <v>0</v>
      </c>
      <c r="CH110" s="6">
        <f>Site6!I130</f>
        <v>0</v>
      </c>
      <c r="CI110" s="6">
        <f>Site6!J130</f>
        <v>0</v>
      </c>
      <c r="CJ110" s="6">
        <f>Site6!K130</f>
        <v>0</v>
      </c>
      <c r="CK110" s="6">
        <f>Site6!L130</f>
        <v>0</v>
      </c>
      <c r="CL110" s="6">
        <f>Site6!M130</f>
        <v>0</v>
      </c>
      <c r="CM110" s="6">
        <f>Site6!N130</f>
        <v>0</v>
      </c>
      <c r="CN110" s="6">
        <f>Site6!O130</f>
        <v>0</v>
      </c>
      <c r="CO110" s="6">
        <f>Site6!P130</f>
        <v>0</v>
      </c>
    </row>
    <row r="111" spans="1:107" hidden="1" outlineLevel="1" x14ac:dyDescent="0.25">
      <c r="A111" s="100">
        <v>6523</v>
      </c>
      <c r="B111" s="18" t="s">
        <v>451</v>
      </c>
      <c r="D111" s="154">
        <f t="shared" si="22"/>
        <v>0</v>
      </c>
      <c r="E111" s="154">
        <f t="shared" si="23"/>
        <v>0</v>
      </c>
      <c r="F111" s="154">
        <f t="shared" si="24"/>
        <v>0</v>
      </c>
      <c r="G111" s="154">
        <f t="shared" si="25"/>
        <v>0</v>
      </c>
      <c r="H111" s="154">
        <f t="shared" si="26"/>
        <v>0</v>
      </c>
      <c r="I111" s="154">
        <f t="shared" si="27"/>
        <v>0</v>
      </c>
      <c r="J111" s="154">
        <f t="shared" si="28"/>
        <v>0</v>
      </c>
      <c r="K111" s="154">
        <f t="shared" si="29"/>
        <v>0</v>
      </c>
      <c r="L111" s="154">
        <f t="shared" si="30"/>
        <v>0</v>
      </c>
      <c r="M111" s="154">
        <f t="shared" si="31"/>
        <v>0</v>
      </c>
      <c r="N111" s="154">
        <f t="shared" si="32"/>
        <v>0</v>
      </c>
      <c r="O111" s="154">
        <f t="shared" si="33"/>
        <v>0</v>
      </c>
      <c r="Q111" s="6">
        <f>Site1!E131</f>
        <v>0</v>
      </c>
      <c r="R111" s="6">
        <f>Site1!F131</f>
        <v>0</v>
      </c>
      <c r="S111" s="6">
        <f>Site1!G131</f>
        <v>0</v>
      </c>
      <c r="T111" s="6">
        <f>Site1!H131</f>
        <v>0</v>
      </c>
      <c r="U111" s="6">
        <f>Site1!I131</f>
        <v>0</v>
      </c>
      <c r="V111" s="6">
        <f>Site1!J131</f>
        <v>0</v>
      </c>
      <c r="W111" s="6">
        <f>Site1!K131</f>
        <v>0</v>
      </c>
      <c r="X111" s="6">
        <f>Site1!L131</f>
        <v>0</v>
      </c>
      <c r="Y111" s="6">
        <f>Site1!M131</f>
        <v>0</v>
      </c>
      <c r="Z111" s="6">
        <f>Site1!N131</f>
        <v>0</v>
      </c>
      <c r="AA111" s="6">
        <f>Site1!O131</f>
        <v>0</v>
      </c>
      <c r="AB111" s="6">
        <f>Site1!P131</f>
        <v>0</v>
      </c>
      <c r="AD111" s="6">
        <f>Site2!E131</f>
        <v>0</v>
      </c>
      <c r="AE111" s="6">
        <f>Site2!F131</f>
        <v>0</v>
      </c>
      <c r="AF111" s="6">
        <f>Site2!G131</f>
        <v>0</v>
      </c>
      <c r="AG111" s="6">
        <f>Site2!H131</f>
        <v>0</v>
      </c>
      <c r="AH111" s="6">
        <f>Site2!I131</f>
        <v>0</v>
      </c>
      <c r="AI111" s="6">
        <f>Site2!J131</f>
        <v>0</v>
      </c>
      <c r="AJ111" s="6">
        <f>Site2!K131</f>
        <v>0</v>
      </c>
      <c r="AK111" s="6">
        <f>Site2!L131</f>
        <v>0</v>
      </c>
      <c r="AL111" s="6">
        <f>Site2!M131</f>
        <v>0</v>
      </c>
      <c r="AM111" s="6">
        <f>Site2!N131</f>
        <v>0</v>
      </c>
      <c r="AN111" s="6">
        <f>Site2!O131</f>
        <v>0</v>
      </c>
      <c r="AO111" s="6">
        <f>Site2!P131</f>
        <v>0</v>
      </c>
      <c r="AQ111" s="6">
        <f>Site3!E131</f>
        <v>0</v>
      </c>
      <c r="AR111" s="6">
        <f>Site3!F131</f>
        <v>0</v>
      </c>
      <c r="AS111" s="6">
        <f>Site3!G131</f>
        <v>0</v>
      </c>
      <c r="AT111" s="6">
        <f>Site3!H131</f>
        <v>0</v>
      </c>
      <c r="AU111" s="6">
        <f>Site3!I131</f>
        <v>0</v>
      </c>
      <c r="AV111" s="6">
        <f>Site3!J131</f>
        <v>0</v>
      </c>
      <c r="AW111" s="6">
        <f>Site3!K131</f>
        <v>0</v>
      </c>
      <c r="AX111" s="6">
        <f>Site3!L131</f>
        <v>0</v>
      </c>
      <c r="AY111" s="6">
        <f>Site3!M131</f>
        <v>0</v>
      </c>
      <c r="AZ111" s="6">
        <f>Site3!N131</f>
        <v>0</v>
      </c>
      <c r="BA111" s="6">
        <f>Site3!O131</f>
        <v>0</v>
      </c>
      <c r="BB111" s="6">
        <f>Site3!P131</f>
        <v>0</v>
      </c>
      <c r="BD111" s="6">
        <f>Site4!E131</f>
        <v>0</v>
      </c>
      <c r="BE111" s="6">
        <f>Site4!F131</f>
        <v>0</v>
      </c>
      <c r="BF111" s="6">
        <f>Site4!G131</f>
        <v>0</v>
      </c>
      <c r="BG111" s="6">
        <f>Site4!H131</f>
        <v>0</v>
      </c>
      <c r="BH111" s="6">
        <f>Site4!I131</f>
        <v>0</v>
      </c>
      <c r="BI111" s="6">
        <f>Site4!J131</f>
        <v>0</v>
      </c>
      <c r="BJ111" s="6">
        <f>Site4!K131</f>
        <v>0</v>
      </c>
      <c r="BK111" s="6">
        <f>Site4!L131</f>
        <v>0</v>
      </c>
      <c r="BL111" s="6">
        <f>Site4!M131</f>
        <v>0</v>
      </c>
      <c r="BM111" s="6">
        <f>Site4!N131</f>
        <v>0</v>
      </c>
      <c r="BN111" s="6">
        <f>Site4!O131</f>
        <v>0</v>
      </c>
      <c r="BO111" s="6">
        <f>Site4!P131</f>
        <v>0</v>
      </c>
      <c r="BQ111" s="6">
        <f>Site5!E131</f>
        <v>0</v>
      </c>
      <c r="BR111" s="6">
        <f>Site5!F131</f>
        <v>0</v>
      </c>
      <c r="BS111" s="6">
        <f>Site5!G131</f>
        <v>0</v>
      </c>
      <c r="BT111" s="6">
        <f>Site5!H131</f>
        <v>0</v>
      </c>
      <c r="BU111" s="6">
        <f>Site5!I131</f>
        <v>0</v>
      </c>
      <c r="BV111" s="6">
        <f>Site5!J131</f>
        <v>0</v>
      </c>
      <c r="BW111" s="6">
        <f>Site5!K131</f>
        <v>0</v>
      </c>
      <c r="BX111" s="6">
        <f>Site5!L131</f>
        <v>0</v>
      </c>
      <c r="BY111" s="6">
        <f>Site5!M131</f>
        <v>0</v>
      </c>
      <c r="BZ111" s="6">
        <f>Site5!N131</f>
        <v>0</v>
      </c>
      <c r="CA111" s="6">
        <f>Site5!O131</f>
        <v>0</v>
      </c>
      <c r="CB111" s="6">
        <f>Site5!P131</f>
        <v>0</v>
      </c>
      <c r="CD111" s="6">
        <f>Site6!E131</f>
        <v>0</v>
      </c>
      <c r="CE111" s="6">
        <f>Site6!F131</f>
        <v>0</v>
      </c>
      <c r="CF111" s="6">
        <f>Site6!G131</f>
        <v>0</v>
      </c>
      <c r="CG111" s="6">
        <f>Site6!H131</f>
        <v>0</v>
      </c>
      <c r="CH111" s="6">
        <f>Site6!I131</f>
        <v>0</v>
      </c>
      <c r="CI111" s="6">
        <f>Site6!J131</f>
        <v>0</v>
      </c>
      <c r="CJ111" s="6">
        <f>Site6!K131</f>
        <v>0</v>
      </c>
      <c r="CK111" s="6">
        <f>Site6!L131</f>
        <v>0</v>
      </c>
      <c r="CL111" s="6">
        <f>Site6!M131</f>
        <v>0</v>
      </c>
      <c r="CM111" s="6">
        <f>Site6!N131</f>
        <v>0</v>
      </c>
      <c r="CN111" s="6">
        <f>Site6!O131</f>
        <v>0</v>
      </c>
      <c r="CO111" s="6">
        <f>Site6!P131</f>
        <v>0</v>
      </c>
    </row>
    <row r="112" spans="1:107" hidden="1" outlineLevel="1" x14ac:dyDescent="0.25">
      <c r="A112" s="100">
        <v>6523</v>
      </c>
      <c r="B112" s="18" t="s">
        <v>452</v>
      </c>
      <c r="D112" s="154">
        <f t="shared" si="22"/>
        <v>0</v>
      </c>
      <c r="E112" s="154">
        <f t="shared" si="23"/>
        <v>0</v>
      </c>
      <c r="F112" s="154">
        <f t="shared" si="24"/>
        <v>0</v>
      </c>
      <c r="G112" s="154">
        <f t="shared" si="25"/>
        <v>0</v>
      </c>
      <c r="H112" s="154">
        <f t="shared" si="26"/>
        <v>0</v>
      </c>
      <c r="I112" s="154">
        <f t="shared" si="27"/>
        <v>0</v>
      </c>
      <c r="J112" s="154">
        <f t="shared" si="28"/>
        <v>0</v>
      </c>
      <c r="K112" s="154">
        <f t="shared" si="29"/>
        <v>0</v>
      </c>
      <c r="L112" s="154">
        <f t="shared" si="30"/>
        <v>0</v>
      </c>
      <c r="M112" s="154">
        <f t="shared" si="31"/>
        <v>0</v>
      </c>
      <c r="N112" s="154">
        <f t="shared" si="32"/>
        <v>0</v>
      </c>
      <c r="O112" s="154">
        <f t="shared" si="33"/>
        <v>0</v>
      </c>
      <c r="Q112" s="6">
        <f>Site1!E132</f>
        <v>0</v>
      </c>
      <c r="R112" s="6">
        <f>Site1!F132</f>
        <v>0</v>
      </c>
      <c r="S112" s="6">
        <f>Site1!G132</f>
        <v>0</v>
      </c>
      <c r="T112" s="6">
        <f>Site1!H132</f>
        <v>0</v>
      </c>
      <c r="U112" s="6">
        <f>Site1!I132</f>
        <v>0</v>
      </c>
      <c r="V112" s="6">
        <f>Site1!J132</f>
        <v>0</v>
      </c>
      <c r="W112" s="6">
        <f>Site1!K132</f>
        <v>0</v>
      </c>
      <c r="X112" s="6">
        <f>Site1!L132</f>
        <v>0</v>
      </c>
      <c r="Y112" s="6">
        <f>Site1!M132</f>
        <v>0</v>
      </c>
      <c r="Z112" s="6">
        <f>Site1!N132</f>
        <v>0</v>
      </c>
      <c r="AA112" s="6">
        <f>Site1!O132</f>
        <v>0</v>
      </c>
      <c r="AB112" s="6">
        <f>Site1!P132</f>
        <v>0</v>
      </c>
      <c r="AD112" s="6">
        <f>Site2!E132</f>
        <v>0</v>
      </c>
      <c r="AE112" s="6">
        <f>Site2!F132</f>
        <v>0</v>
      </c>
      <c r="AF112" s="6">
        <f>Site2!G132</f>
        <v>0</v>
      </c>
      <c r="AG112" s="6">
        <f>Site2!H132</f>
        <v>0</v>
      </c>
      <c r="AH112" s="6">
        <f>Site2!I132</f>
        <v>0</v>
      </c>
      <c r="AI112" s="6">
        <f>Site2!J132</f>
        <v>0</v>
      </c>
      <c r="AJ112" s="6">
        <f>Site2!K132</f>
        <v>0</v>
      </c>
      <c r="AK112" s="6">
        <f>Site2!L132</f>
        <v>0</v>
      </c>
      <c r="AL112" s="6">
        <f>Site2!M132</f>
        <v>0</v>
      </c>
      <c r="AM112" s="6">
        <f>Site2!N132</f>
        <v>0</v>
      </c>
      <c r="AN112" s="6">
        <f>Site2!O132</f>
        <v>0</v>
      </c>
      <c r="AO112" s="6">
        <f>Site2!P132</f>
        <v>0</v>
      </c>
      <c r="AQ112" s="6">
        <f>Site3!E132</f>
        <v>0</v>
      </c>
      <c r="AR112" s="6">
        <f>Site3!F132</f>
        <v>0</v>
      </c>
      <c r="AS112" s="6">
        <f>Site3!G132</f>
        <v>0</v>
      </c>
      <c r="AT112" s="6">
        <f>Site3!H132</f>
        <v>0</v>
      </c>
      <c r="AU112" s="6">
        <f>Site3!I132</f>
        <v>0</v>
      </c>
      <c r="AV112" s="6">
        <f>Site3!J132</f>
        <v>0</v>
      </c>
      <c r="AW112" s="6">
        <f>Site3!K132</f>
        <v>0</v>
      </c>
      <c r="AX112" s="6">
        <f>Site3!L132</f>
        <v>0</v>
      </c>
      <c r="AY112" s="6">
        <f>Site3!M132</f>
        <v>0</v>
      </c>
      <c r="AZ112" s="6">
        <f>Site3!N132</f>
        <v>0</v>
      </c>
      <c r="BA112" s="6">
        <f>Site3!O132</f>
        <v>0</v>
      </c>
      <c r="BB112" s="6">
        <f>Site3!P132</f>
        <v>0</v>
      </c>
      <c r="BD112" s="6">
        <f>Site4!E132</f>
        <v>0</v>
      </c>
      <c r="BE112" s="6">
        <f>Site4!F132</f>
        <v>0</v>
      </c>
      <c r="BF112" s="6">
        <f>Site4!G132</f>
        <v>0</v>
      </c>
      <c r="BG112" s="6">
        <f>Site4!H132</f>
        <v>0</v>
      </c>
      <c r="BH112" s="6">
        <f>Site4!I132</f>
        <v>0</v>
      </c>
      <c r="BI112" s="6">
        <f>Site4!J132</f>
        <v>0</v>
      </c>
      <c r="BJ112" s="6">
        <f>Site4!K132</f>
        <v>0</v>
      </c>
      <c r="BK112" s="6">
        <f>Site4!L132</f>
        <v>0</v>
      </c>
      <c r="BL112" s="6">
        <f>Site4!M132</f>
        <v>0</v>
      </c>
      <c r="BM112" s="6">
        <f>Site4!N132</f>
        <v>0</v>
      </c>
      <c r="BN112" s="6">
        <f>Site4!O132</f>
        <v>0</v>
      </c>
      <c r="BO112" s="6">
        <f>Site4!P132</f>
        <v>0</v>
      </c>
      <c r="BQ112" s="6">
        <f>Site5!E132</f>
        <v>0</v>
      </c>
      <c r="BR112" s="6">
        <f>Site5!F132</f>
        <v>0</v>
      </c>
      <c r="BS112" s="6">
        <f>Site5!G132</f>
        <v>0</v>
      </c>
      <c r="BT112" s="6">
        <f>Site5!H132</f>
        <v>0</v>
      </c>
      <c r="BU112" s="6">
        <f>Site5!I132</f>
        <v>0</v>
      </c>
      <c r="BV112" s="6">
        <f>Site5!J132</f>
        <v>0</v>
      </c>
      <c r="BW112" s="6">
        <f>Site5!K132</f>
        <v>0</v>
      </c>
      <c r="BX112" s="6">
        <f>Site5!L132</f>
        <v>0</v>
      </c>
      <c r="BY112" s="6">
        <f>Site5!M132</f>
        <v>0</v>
      </c>
      <c r="BZ112" s="6">
        <f>Site5!N132</f>
        <v>0</v>
      </c>
      <c r="CA112" s="6">
        <f>Site5!O132</f>
        <v>0</v>
      </c>
      <c r="CB112" s="6">
        <f>Site5!P132</f>
        <v>0</v>
      </c>
      <c r="CD112" s="6">
        <f>Site6!E132</f>
        <v>0</v>
      </c>
      <c r="CE112" s="6">
        <f>Site6!F132</f>
        <v>0</v>
      </c>
      <c r="CF112" s="6">
        <f>Site6!G132</f>
        <v>0</v>
      </c>
      <c r="CG112" s="6">
        <f>Site6!H132</f>
        <v>0</v>
      </c>
      <c r="CH112" s="6">
        <f>Site6!I132</f>
        <v>0</v>
      </c>
      <c r="CI112" s="6">
        <f>Site6!J132</f>
        <v>0</v>
      </c>
      <c r="CJ112" s="6">
        <f>Site6!K132</f>
        <v>0</v>
      </c>
      <c r="CK112" s="6">
        <f>Site6!L132</f>
        <v>0</v>
      </c>
      <c r="CL112" s="6">
        <f>Site6!M132</f>
        <v>0</v>
      </c>
      <c r="CM112" s="6">
        <f>Site6!N132</f>
        <v>0</v>
      </c>
      <c r="CN112" s="6">
        <f>Site6!O132</f>
        <v>0</v>
      </c>
      <c r="CO112" s="6">
        <f>Site6!P132</f>
        <v>0</v>
      </c>
    </row>
    <row r="113" spans="1:107" s="30" customFormat="1" collapsed="1" x14ac:dyDescent="0.25">
      <c r="A113" s="101">
        <v>520</v>
      </c>
      <c r="B113" s="274" t="s">
        <v>447</v>
      </c>
      <c r="D113" s="260">
        <f t="shared" si="22"/>
        <v>3300</v>
      </c>
      <c r="E113" s="260">
        <f t="shared" si="23"/>
        <v>3433</v>
      </c>
      <c r="F113" s="260">
        <f t="shared" si="24"/>
        <v>3569</v>
      </c>
      <c r="G113" s="260">
        <f t="shared" si="25"/>
        <v>3708</v>
      </c>
      <c r="H113" s="260">
        <f t="shared" si="26"/>
        <v>3849</v>
      </c>
      <c r="I113" s="260">
        <f t="shared" si="27"/>
        <v>3993</v>
      </c>
      <c r="J113" s="260">
        <f t="shared" si="28"/>
        <v>4152</v>
      </c>
      <c r="K113" s="260">
        <f t="shared" si="29"/>
        <v>4314</v>
      </c>
      <c r="L113" s="260">
        <f t="shared" si="30"/>
        <v>4479</v>
      </c>
      <c r="M113" s="260">
        <f t="shared" si="31"/>
        <v>4647</v>
      </c>
      <c r="N113" s="260">
        <f t="shared" si="32"/>
        <v>4818</v>
      </c>
      <c r="O113" s="260">
        <f t="shared" si="33"/>
        <v>4992</v>
      </c>
      <c r="Q113" s="261">
        <f>Site1!E133</f>
        <v>3300</v>
      </c>
      <c r="R113" s="261">
        <f>Site1!F133</f>
        <v>3433</v>
      </c>
      <c r="S113" s="261">
        <f>Site1!G133</f>
        <v>3569</v>
      </c>
      <c r="T113" s="261">
        <f>Site1!H133</f>
        <v>3708</v>
      </c>
      <c r="U113" s="261">
        <f>Site1!I133</f>
        <v>3849</v>
      </c>
      <c r="V113" s="261">
        <f>Site1!J133</f>
        <v>3993</v>
      </c>
      <c r="W113" s="261">
        <f>Site1!K133</f>
        <v>4152</v>
      </c>
      <c r="X113" s="261">
        <f>Site1!L133</f>
        <v>4314</v>
      </c>
      <c r="Y113" s="261">
        <f>Site1!M133</f>
        <v>4479</v>
      </c>
      <c r="Z113" s="261">
        <f>Site1!N133</f>
        <v>4647</v>
      </c>
      <c r="AA113" s="261">
        <f>Site1!O133</f>
        <v>4818</v>
      </c>
      <c r="AB113" s="261">
        <f>Site1!P133</f>
        <v>4992</v>
      </c>
      <c r="AD113" s="261">
        <f>Site2!E133</f>
        <v>0</v>
      </c>
      <c r="AE113" s="261">
        <f>Site2!F133</f>
        <v>0</v>
      </c>
      <c r="AF113" s="261">
        <f>Site2!G133</f>
        <v>0</v>
      </c>
      <c r="AG113" s="261">
        <f>Site2!H133</f>
        <v>0</v>
      </c>
      <c r="AH113" s="261">
        <f>Site2!I133</f>
        <v>0</v>
      </c>
      <c r="AI113" s="261">
        <f>Site2!J133</f>
        <v>0</v>
      </c>
      <c r="AJ113" s="261">
        <f>Site2!K133</f>
        <v>0</v>
      </c>
      <c r="AK113" s="261">
        <f>Site2!L133</f>
        <v>0</v>
      </c>
      <c r="AL113" s="261">
        <f>Site2!M133</f>
        <v>0</v>
      </c>
      <c r="AM113" s="261">
        <f>Site2!N133</f>
        <v>0</v>
      </c>
      <c r="AN113" s="261">
        <f>Site2!O133</f>
        <v>0</v>
      </c>
      <c r="AO113" s="261">
        <f>Site2!P133</f>
        <v>0</v>
      </c>
      <c r="AQ113" s="261">
        <f>Site3!E133</f>
        <v>0</v>
      </c>
      <c r="AR113" s="261">
        <f>Site3!F133</f>
        <v>0</v>
      </c>
      <c r="AS113" s="261">
        <f>Site3!G133</f>
        <v>0</v>
      </c>
      <c r="AT113" s="261">
        <f>Site3!H133</f>
        <v>0</v>
      </c>
      <c r="AU113" s="261">
        <f>Site3!I133</f>
        <v>0</v>
      </c>
      <c r="AV113" s="261">
        <f>Site3!J133</f>
        <v>0</v>
      </c>
      <c r="AW113" s="261">
        <f>Site3!K133</f>
        <v>0</v>
      </c>
      <c r="AX113" s="261">
        <f>Site3!L133</f>
        <v>0</v>
      </c>
      <c r="AY113" s="261">
        <f>Site3!M133</f>
        <v>0</v>
      </c>
      <c r="AZ113" s="261">
        <f>Site3!N133</f>
        <v>0</v>
      </c>
      <c r="BA113" s="261">
        <f>Site3!O133</f>
        <v>0</v>
      </c>
      <c r="BB113" s="261">
        <f>Site3!P133</f>
        <v>0</v>
      </c>
      <c r="BD113" s="261">
        <f>Site4!E133</f>
        <v>0</v>
      </c>
      <c r="BE113" s="261">
        <f>Site4!F133</f>
        <v>0</v>
      </c>
      <c r="BF113" s="261">
        <f>Site4!G133</f>
        <v>0</v>
      </c>
      <c r="BG113" s="261">
        <f>Site4!H133</f>
        <v>0</v>
      </c>
      <c r="BH113" s="261">
        <f>Site4!I133</f>
        <v>0</v>
      </c>
      <c r="BI113" s="261">
        <f>Site4!J133</f>
        <v>0</v>
      </c>
      <c r="BJ113" s="261">
        <f>Site4!K133</f>
        <v>0</v>
      </c>
      <c r="BK113" s="261">
        <f>Site4!L133</f>
        <v>0</v>
      </c>
      <c r="BL113" s="261">
        <f>Site4!M133</f>
        <v>0</v>
      </c>
      <c r="BM113" s="261">
        <f>Site4!N133</f>
        <v>0</v>
      </c>
      <c r="BN113" s="261">
        <f>Site4!O133</f>
        <v>0</v>
      </c>
      <c r="BO113" s="261">
        <f>Site4!P133</f>
        <v>0</v>
      </c>
      <c r="BQ113" s="261">
        <f>Site5!E133</f>
        <v>0</v>
      </c>
      <c r="BR113" s="261">
        <f>Site5!F133</f>
        <v>0</v>
      </c>
      <c r="BS113" s="261">
        <f>Site5!G133</f>
        <v>0</v>
      </c>
      <c r="BT113" s="261">
        <f>Site5!H133</f>
        <v>0</v>
      </c>
      <c r="BU113" s="261">
        <f>Site5!I133</f>
        <v>0</v>
      </c>
      <c r="BV113" s="261">
        <f>Site5!J133</f>
        <v>0</v>
      </c>
      <c r="BW113" s="261">
        <f>Site5!K133</f>
        <v>0</v>
      </c>
      <c r="BX113" s="261">
        <f>Site5!L133</f>
        <v>0</v>
      </c>
      <c r="BY113" s="261">
        <f>Site5!M133</f>
        <v>0</v>
      </c>
      <c r="BZ113" s="261">
        <f>Site5!N133</f>
        <v>0</v>
      </c>
      <c r="CA113" s="261">
        <f>Site5!O133</f>
        <v>0</v>
      </c>
      <c r="CB113" s="261">
        <f>Site5!P133</f>
        <v>0</v>
      </c>
      <c r="CD113" s="261">
        <f>Site6!E133</f>
        <v>0</v>
      </c>
      <c r="CE113" s="261">
        <f>Site6!F133</f>
        <v>0</v>
      </c>
      <c r="CF113" s="261">
        <f>Site6!G133</f>
        <v>0</v>
      </c>
      <c r="CG113" s="261">
        <f>Site6!H133</f>
        <v>0</v>
      </c>
      <c r="CH113" s="261">
        <f>Site6!I133</f>
        <v>0</v>
      </c>
      <c r="CI113" s="261">
        <f>Site6!J133</f>
        <v>0</v>
      </c>
      <c r="CJ113" s="261">
        <f>Site6!K133</f>
        <v>0</v>
      </c>
      <c r="CK113" s="261">
        <f>Site6!L133</f>
        <v>0</v>
      </c>
      <c r="CL113" s="261">
        <f>Site6!M133</f>
        <v>0</v>
      </c>
      <c r="CM113" s="261">
        <f>Site6!N133</f>
        <v>0</v>
      </c>
      <c r="CN113" s="261">
        <f>Site6!O133</f>
        <v>0</v>
      </c>
      <c r="CO113" s="261">
        <f>Site6!P133</f>
        <v>0</v>
      </c>
    </row>
    <row r="114" spans="1:107" s="30" customFormat="1" x14ac:dyDescent="0.25">
      <c r="A114" s="284">
        <v>540</v>
      </c>
      <c r="B114" s="276" t="s">
        <v>79</v>
      </c>
      <c r="D114" s="278">
        <f t="shared" si="22"/>
        <v>72400</v>
      </c>
      <c r="E114" s="278">
        <f t="shared" si="23"/>
        <v>8400</v>
      </c>
      <c r="F114" s="278">
        <f t="shared" si="24"/>
        <v>14400</v>
      </c>
      <c r="G114" s="278">
        <f t="shared" si="25"/>
        <v>14400</v>
      </c>
      <c r="H114" s="278">
        <f t="shared" si="26"/>
        <v>14400</v>
      </c>
      <c r="I114" s="278">
        <f t="shared" si="27"/>
        <v>14400</v>
      </c>
      <c r="J114" s="278">
        <f t="shared" si="28"/>
        <v>14400</v>
      </c>
      <c r="K114" s="278">
        <f t="shared" si="29"/>
        <v>14400</v>
      </c>
      <c r="L114" s="278">
        <f t="shared" si="30"/>
        <v>14400</v>
      </c>
      <c r="M114" s="278">
        <f t="shared" si="31"/>
        <v>14400</v>
      </c>
      <c r="N114" s="278">
        <f t="shared" si="32"/>
        <v>14400</v>
      </c>
      <c r="O114" s="278">
        <f t="shared" si="33"/>
        <v>14400</v>
      </c>
      <c r="Q114" s="287">
        <f>Site1!E134</f>
        <v>32000</v>
      </c>
      <c r="R114" s="287">
        <f>Site1!F134</f>
        <v>0</v>
      </c>
      <c r="S114" s="287">
        <f>Site1!G134</f>
        <v>0</v>
      </c>
      <c r="T114" s="287">
        <f>Site1!H134</f>
        <v>0</v>
      </c>
      <c r="U114" s="287">
        <f>Site1!I134</f>
        <v>0</v>
      </c>
      <c r="V114" s="287">
        <f>Site1!J134</f>
        <v>0</v>
      </c>
      <c r="W114" s="287">
        <f>Site1!K134</f>
        <v>0</v>
      </c>
      <c r="X114" s="287">
        <f>Site1!L134</f>
        <v>0</v>
      </c>
      <c r="Y114" s="287">
        <f>Site1!M134</f>
        <v>0</v>
      </c>
      <c r="Z114" s="287">
        <f>Site1!N134</f>
        <v>0</v>
      </c>
      <c r="AA114" s="287">
        <f>Site1!O134</f>
        <v>0</v>
      </c>
      <c r="AB114" s="287">
        <f>Site1!P134</f>
        <v>0</v>
      </c>
      <c r="AC114" s="71"/>
      <c r="AD114" s="287">
        <f>Site2!E134</f>
        <v>0</v>
      </c>
      <c r="AE114" s="287">
        <f>Site2!F134</f>
        <v>0</v>
      </c>
      <c r="AF114" s="287">
        <f>Site2!G134</f>
        <v>0</v>
      </c>
      <c r="AG114" s="287">
        <f>Site2!H134</f>
        <v>0</v>
      </c>
      <c r="AH114" s="287">
        <f>Site2!I134</f>
        <v>0</v>
      </c>
      <c r="AI114" s="287">
        <f>Site2!J134</f>
        <v>0</v>
      </c>
      <c r="AJ114" s="287">
        <f>Site2!K134</f>
        <v>0</v>
      </c>
      <c r="AK114" s="287">
        <f>Site2!L134</f>
        <v>0</v>
      </c>
      <c r="AL114" s="287">
        <f>Site2!M134</f>
        <v>0</v>
      </c>
      <c r="AM114" s="287">
        <f>Site2!N134</f>
        <v>0</v>
      </c>
      <c r="AN114" s="287">
        <f>Site2!O134</f>
        <v>0</v>
      </c>
      <c r="AO114" s="287">
        <f>Site2!P134</f>
        <v>0</v>
      </c>
      <c r="AQ114" s="287">
        <f>Site3!E134</f>
        <v>2400</v>
      </c>
      <c r="AR114" s="287">
        <f>Site3!F134</f>
        <v>2400</v>
      </c>
      <c r="AS114" s="287">
        <f>Site3!G134</f>
        <v>2400</v>
      </c>
      <c r="AT114" s="287">
        <f>Site3!H134</f>
        <v>2400</v>
      </c>
      <c r="AU114" s="287">
        <f>Site3!I134</f>
        <v>2400</v>
      </c>
      <c r="AV114" s="287">
        <f>Site3!J134</f>
        <v>2400</v>
      </c>
      <c r="AW114" s="287">
        <f>Site3!K134</f>
        <v>2400</v>
      </c>
      <c r="AX114" s="287">
        <f>Site3!L134</f>
        <v>2400</v>
      </c>
      <c r="AY114" s="287">
        <f>Site3!M134</f>
        <v>2400</v>
      </c>
      <c r="AZ114" s="287">
        <f>Site3!N134</f>
        <v>2400</v>
      </c>
      <c r="BA114" s="287">
        <f>Site3!O134</f>
        <v>2400</v>
      </c>
      <c r="BB114" s="287">
        <f>Site3!P134</f>
        <v>2400</v>
      </c>
      <c r="BD114" s="287">
        <f>Site4!E134</f>
        <v>6000</v>
      </c>
      <c r="BE114" s="287">
        <f>Site4!F134</f>
        <v>6000</v>
      </c>
      <c r="BF114" s="287">
        <f>Site4!G134</f>
        <v>6000</v>
      </c>
      <c r="BG114" s="287">
        <f>Site4!H134</f>
        <v>6000</v>
      </c>
      <c r="BH114" s="287">
        <f>Site4!I134</f>
        <v>6000</v>
      </c>
      <c r="BI114" s="287">
        <f>Site4!J134</f>
        <v>6000</v>
      </c>
      <c r="BJ114" s="287">
        <f>Site4!K134</f>
        <v>6000</v>
      </c>
      <c r="BK114" s="287">
        <f>Site4!L134</f>
        <v>6000</v>
      </c>
      <c r="BL114" s="287">
        <f>Site4!M134</f>
        <v>6000</v>
      </c>
      <c r="BM114" s="287">
        <f>Site4!N134</f>
        <v>6000</v>
      </c>
      <c r="BN114" s="287">
        <f>Site4!O134</f>
        <v>6000</v>
      </c>
      <c r="BO114" s="287">
        <f>Site4!P134</f>
        <v>6000</v>
      </c>
      <c r="BQ114" s="287">
        <f>Site5!E134</f>
        <v>32000</v>
      </c>
      <c r="BR114" s="287">
        <f>Site5!F134</f>
        <v>0</v>
      </c>
      <c r="BS114" s="287">
        <f>Site5!G134</f>
        <v>0</v>
      </c>
      <c r="BT114" s="287">
        <f>Site5!H134</f>
        <v>0</v>
      </c>
      <c r="BU114" s="287">
        <f>Site5!I134</f>
        <v>0</v>
      </c>
      <c r="BV114" s="287">
        <f>Site5!J134</f>
        <v>0</v>
      </c>
      <c r="BW114" s="287">
        <f>Site5!K134</f>
        <v>0</v>
      </c>
      <c r="BX114" s="287">
        <f>Site5!L134</f>
        <v>0</v>
      </c>
      <c r="BY114" s="287">
        <f>Site5!M134</f>
        <v>0</v>
      </c>
      <c r="BZ114" s="287">
        <f>Site5!N134</f>
        <v>0</v>
      </c>
      <c r="CA114" s="287">
        <f>Site5!O134</f>
        <v>0</v>
      </c>
      <c r="CB114" s="287">
        <f>Site5!P134</f>
        <v>0</v>
      </c>
      <c r="CD114" s="287">
        <f>Site6!E134</f>
        <v>0</v>
      </c>
      <c r="CE114" s="287">
        <f>Site6!F134</f>
        <v>0</v>
      </c>
      <c r="CF114" s="287">
        <f>Site6!G134</f>
        <v>6000</v>
      </c>
      <c r="CG114" s="287">
        <f>Site6!H134</f>
        <v>6000</v>
      </c>
      <c r="CH114" s="287">
        <f>Site6!I134</f>
        <v>6000</v>
      </c>
      <c r="CI114" s="287">
        <f>Site6!J134</f>
        <v>6000</v>
      </c>
      <c r="CJ114" s="287">
        <f>Site6!K134</f>
        <v>6000</v>
      </c>
      <c r="CK114" s="287">
        <f>Site6!L134</f>
        <v>6000</v>
      </c>
      <c r="CL114" s="287">
        <f>Site6!M134</f>
        <v>6000</v>
      </c>
      <c r="CM114" s="287">
        <f>Site6!N134</f>
        <v>6000</v>
      </c>
      <c r="CN114" s="287">
        <f>Site6!O134</f>
        <v>6000</v>
      </c>
      <c r="CO114" s="287">
        <f>Site6!P134</f>
        <v>6000</v>
      </c>
    </row>
    <row r="115" spans="1:107" hidden="1" outlineLevel="1" x14ac:dyDescent="0.25">
      <c r="A115" s="100">
        <v>6569</v>
      </c>
      <c r="B115" s="18" t="s">
        <v>560</v>
      </c>
      <c r="D115" s="154">
        <f t="shared" si="22"/>
        <v>35250</v>
      </c>
      <c r="E115" s="154">
        <f t="shared" si="23"/>
        <v>40290</v>
      </c>
      <c r="F115" s="154">
        <f t="shared" si="24"/>
        <v>45760</v>
      </c>
      <c r="G115" s="154">
        <f t="shared" si="25"/>
        <v>49078</v>
      </c>
      <c r="H115" s="154">
        <f t="shared" si="26"/>
        <v>51948</v>
      </c>
      <c r="I115" s="154">
        <f t="shared" si="27"/>
        <v>54670</v>
      </c>
      <c r="J115" s="154">
        <f t="shared" si="28"/>
        <v>57540</v>
      </c>
      <c r="K115" s="154">
        <f t="shared" si="29"/>
        <v>60477</v>
      </c>
      <c r="L115" s="154">
        <f t="shared" si="30"/>
        <v>63713</v>
      </c>
      <c r="M115" s="154">
        <f t="shared" si="31"/>
        <v>67024</v>
      </c>
      <c r="N115" s="154">
        <f t="shared" si="32"/>
        <v>70470</v>
      </c>
      <c r="O115" s="154">
        <f t="shared" si="33"/>
        <v>74115</v>
      </c>
      <c r="Q115" s="6">
        <f>Site1!E135</f>
        <v>15000</v>
      </c>
      <c r="R115" s="6">
        <f>Site1!F135</f>
        <v>15606</v>
      </c>
      <c r="S115" s="6">
        <f>Site1!G135</f>
        <v>16224</v>
      </c>
      <c r="T115" s="6">
        <f>Site1!H135</f>
        <v>16854</v>
      </c>
      <c r="U115" s="6">
        <f>Site1!I135</f>
        <v>17496</v>
      </c>
      <c r="V115" s="6">
        <f>Site1!J135</f>
        <v>18150</v>
      </c>
      <c r="W115" s="6">
        <f>Site1!K135</f>
        <v>18872</v>
      </c>
      <c r="X115" s="6">
        <f>Site1!L135</f>
        <v>19608</v>
      </c>
      <c r="Y115" s="6">
        <f>Site1!M135</f>
        <v>20358</v>
      </c>
      <c r="Z115" s="6">
        <f>Site1!N135</f>
        <v>21122</v>
      </c>
      <c r="AA115" s="6">
        <f>Site1!O135</f>
        <v>21900</v>
      </c>
      <c r="AB115" s="6">
        <f>Site1!P135</f>
        <v>22692</v>
      </c>
      <c r="AC115" s="37"/>
      <c r="AD115" s="6">
        <f>Site2!E135</f>
        <v>10000</v>
      </c>
      <c r="AE115" s="6">
        <f>Site2!F135</f>
        <v>10404</v>
      </c>
      <c r="AF115" s="6">
        <f>Site2!G135</f>
        <v>10816</v>
      </c>
      <c r="AG115" s="6">
        <f>Site2!H135</f>
        <v>11236</v>
      </c>
      <c r="AH115" s="6">
        <f>Site2!I135</f>
        <v>11664</v>
      </c>
      <c r="AI115" s="6">
        <f>Site2!J135</f>
        <v>12100</v>
      </c>
      <c r="AJ115" s="6">
        <f>Site2!K135</f>
        <v>12544</v>
      </c>
      <c r="AK115" s="6">
        <f>Site2!L135</f>
        <v>12996</v>
      </c>
      <c r="AL115" s="6">
        <f>Site2!M135</f>
        <v>13514</v>
      </c>
      <c r="AM115" s="6">
        <f>Site2!N135</f>
        <v>14042</v>
      </c>
      <c r="AN115" s="6">
        <f>Site2!O135</f>
        <v>14580</v>
      </c>
      <c r="AO115" s="6">
        <f>Site2!P135</f>
        <v>15128</v>
      </c>
      <c r="AQ115" s="6">
        <f>Site3!E135</f>
        <v>4250</v>
      </c>
      <c r="AR115" s="6">
        <f>Site3!F135</f>
        <v>5610</v>
      </c>
      <c r="AS115" s="6">
        <f>Site3!G135</f>
        <v>6240</v>
      </c>
      <c r="AT115" s="6">
        <f>Site3!H135</f>
        <v>6678</v>
      </c>
      <c r="AU115" s="6">
        <f>Site3!I135</f>
        <v>7128</v>
      </c>
      <c r="AV115" s="6">
        <f>Site3!J135</f>
        <v>7645</v>
      </c>
      <c r="AW115" s="6">
        <f>Site3!K135</f>
        <v>8176</v>
      </c>
      <c r="AX115" s="6">
        <f>Site3!L135</f>
        <v>8721</v>
      </c>
      <c r="AY115" s="6">
        <f>Site3!M135</f>
        <v>9338</v>
      </c>
      <c r="AZ115" s="6">
        <f>Site3!N135</f>
        <v>9971</v>
      </c>
      <c r="BA115" s="6">
        <f>Site3!O135</f>
        <v>10620</v>
      </c>
      <c r="BB115" s="6">
        <f>Site3!P135</f>
        <v>11346</v>
      </c>
      <c r="BD115" s="6">
        <f>Site4!E135</f>
        <v>2250</v>
      </c>
      <c r="BE115" s="6">
        <f>Site4!F135</f>
        <v>3315</v>
      </c>
      <c r="BF115" s="6">
        <f>Site4!G135</f>
        <v>3900</v>
      </c>
      <c r="BG115" s="6">
        <f>Site4!H135</f>
        <v>4187</v>
      </c>
      <c r="BH115" s="6">
        <f>Site4!I135</f>
        <v>4482</v>
      </c>
      <c r="BI115" s="6">
        <f>Site4!J135</f>
        <v>4785</v>
      </c>
      <c r="BJ115" s="6">
        <f>Site4!K135</f>
        <v>5124</v>
      </c>
      <c r="BK115" s="6">
        <f>Site4!L135</f>
        <v>5472</v>
      </c>
      <c r="BL115" s="6">
        <f>Site4!M135</f>
        <v>5858</v>
      </c>
      <c r="BM115" s="6">
        <f>Site4!N135</f>
        <v>6254</v>
      </c>
      <c r="BN115" s="6">
        <f>Site4!O135</f>
        <v>6690</v>
      </c>
      <c r="BO115" s="6">
        <f>Site4!P135</f>
        <v>7137</v>
      </c>
      <c r="BQ115" s="6">
        <f>Site5!E135</f>
        <v>3750</v>
      </c>
      <c r="BR115" s="6">
        <f>Site5!F135</f>
        <v>5355</v>
      </c>
      <c r="BS115" s="6">
        <f>Site5!G135</f>
        <v>6240</v>
      </c>
      <c r="BT115" s="6">
        <f>Site5!H135</f>
        <v>6678</v>
      </c>
      <c r="BU115" s="6">
        <f>Site5!I135</f>
        <v>7128</v>
      </c>
      <c r="BV115" s="6">
        <f>Site5!J135</f>
        <v>7645</v>
      </c>
      <c r="BW115" s="6">
        <f>Site5!K135</f>
        <v>8176</v>
      </c>
      <c r="BX115" s="6">
        <f>Site5!L135</f>
        <v>8721</v>
      </c>
      <c r="BY115" s="6">
        <f>Site5!M135</f>
        <v>9338</v>
      </c>
      <c r="BZ115" s="6">
        <f>Site5!N135</f>
        <v>9971</v>
      </c>
      <c r="CA115" s="6">
        <f>Site5!O135</f>
        <v>10620</v>
      </c>
      <c r="CB115" s="6">
        <f>Site5!P135</f>
        <v>11346</v>
      </c>
      <c r="CD115" s="6">
        <f>Site6!E135</f>
        <v>0</v>
      </c>
      <c r="CE115" s="6">
        <f>Site6!F135</f>
        <v>0</v>
      </c>
      <c r="CF115" s="6">
        <f>Site6!G135</f>
        <v>2340</v>
      </c>
      <c r="CG115" s="6">
        <f>Site6!H135</f>
        <v>3445</v>
      </c>
      <c r="CH115" s="6">
        <f>Site6!I135</f>
        <v>4050</v>
      </c>
      <c r="CI115" s="6">
        <f>Site6!J135</f>
        <v>4345</v>
      </c>
      <c r="CJ115" s="6">
        <f>Site6!K135</f>
        <v>4648</v>
      </c>
      <c r="CK115" s="6">
        <f>Site6!L135</f>
        <v>4959</v>
      </c>
      <c r="CL115" s="6">
        <f>Site6!M135</f>
        <v>5307</v>
      </c>
      <c r="CM115" s="6">
        <f>Site6!N135</f>
        <v>5664</v>
      </c>
      <c r="CN115" s="6">
        <f>Site6!O135</f>
        <v>6060</v>
      </c>
      <c r="CO115" s="6">
        <f>Site6!P135</f>
        <v>6466</v>
      </c>
    </row>
    <row r="116" spans="1:107" hidden="1" outlineLevel="1" x14ac:dyDescent="0.25">
      <c r="A116" s="100">
        <v>6569</v>
      </c>
      <c r="B116" s="18" t="s">
        <v>561</v>
      </c>
      <c r="D116" s="154">
        <f t="shared" si="22"/>
        <v>639843.75</v>
      </c>
      <c r="E116" s="154">
        <f t="shared" si="23"/>
        <v>739659.75</v>
      </c>
      <c r="F116" s="154">
        <f t="shared" si="24"/>
        <v>882700</v>
      </c>
      <c r="G116" s="154">
        <f t="shared" si="25"/>
        <v>963208.75</v>
      </c>
      <c r="H116" s="154">
        <f t="shared" si="26"/>
        <v>1027215</v>
      </c>
      <c r="I116" s="154">
        <f t="shared" si="27"/>
        <v>1083054</v>
      </c>
      <c r="J116" s="154">
        <f t="shared" si="28"/>
        <v>1142190</v>
      </c>
      <c r="K116" s="154">
        <f t="shared" si="29"/>
        <v>1202736.5</v>
      </c>
      <c r="L116" s="154">
        <f t="shared" si="30"/>
        <v>1269511.25</v>
      </c>
      <c r="M116" s="154">
        <f t="shared" si="31"/>
        <v>1337862.75</v>
      </c>
      <c r="N116" s="154">
        <f t="shared" si="32"/>
        <v>1409887.5</v>
      </c>
      <c r="O116" s="154">
        <f t="shared" si="33"/>
        <v>1485426.25</v>
      </c>
      <c r="Q116" s="6">
        <f>Site1!E136</f>
        <v>262500</v>
      </c>
      <c r="R116" s="6">
        <f>Site1!F136</f>
        <v>273105</v>
      </c>
      <c r="S116" s="6">
        <f>Site1!G136</f>
        <v>283920</v>
      </c>
      <c r="T116" s="6">
        <f>Site1!H136</f>
        <v>294945</v>
      </c>
      <c r="U116" s="6">
        <f>Site1!I136</f>
        <v>306180</v>
      </c>
      <c r="V116" s="6">
        <f>Site1!J136</f>
        <v>317625</v>
      </c>
      <c r="W116" s="6">
        <f>Site1!K136</f>
        <v>330260</v>
      </c>
      <c r="X116" s="6">
        <f>Site1!L136</f>
        <v>343140</v>
      </c>
      <c r="Y116" s="6">
        <f>Site1!M136</f>
        <v>356265</v>
      </c>
      <c r="Z116" s="6">
        <f>Site1!N136</f>
        <v>369635</v>
      </c>
      <c r="AA116" s="6">
        <f>Site1!O136</f>
        <v>383250</v>
      </c>
      <c r="AB116" s="6">
        <f>Site1!P136</f>
        <v>397110</v>
      </c>
      <c r="AC116" s="37"/>
      <c r="AD116" s="6">
        <f>Site2!E136</f>
        <v>175000</v>
      </c>
      <c r="AE116" s="6">
        <f>Site2!F136</f>
        <v>182070</v>
      </c>
      <c r="AF116" s="6">
        <f>Site2!G136</f>
        <v>189280</v>
      </c>
      <c r="AG116" s="6">
        <f>Site2!H136</f>
        <v>196630</v>
      </c>
      <c r="AH116" s="6">
        <f>Site2!I136</f>
        <v>204120</v>
      </c>
      <c r="AI116" s="6">
        <f>Site2!J136</f>
        <v>211750</v>
      </c>
      <c r="AJ116" s="6">
        <f>Site2!K136</f>
        <v>219520</v>
      </c>
      <c r="AK116" s="6">
        <f>Site2!L136</f>
        <v>227430</v>
      </c>
      <c r="AL116" s="6">
        <f>Site2!M136</f>
        <v>236495</v>
      </c>
      <c r="AM116" s="6">
        <f>Site2!N136</f>
        <v>245735</v>
      </c>
      <c r="AN116" s="6">
        <f>Site2!O136</f>
        <v>255150</v>
      </c>
      <c r="AO116" s="6">
        <f>Site2!P136</f>
        <v>264740</v>
      </c>
      <c r="AQ116" s="6">
        <f>Site3!E136</f>
        <v>74375</v>
      </c>
      <c r="AR116" s="6">
        <f>Site3!F136</f>
        <v>98175</v>
      </c>
      <c r="AS116" s="6">
        <f>Site3!G136</f>
        <v>109200</v>
      </c>
      <c r="AT116" s="6">
        <f>Site3!H136</f>
        <v>116865</v>
      </c>
      <c r="AU116" s="6">
        <f>Site3!I136</f>
        <v>124740</v>
      </c>
      <c r="AV116" s="6">
        <f>Site3!J136</f>
        <v>133788</v>
      </c>
      <c r="AW116" s="6">
        <f>Site3!K136</f>
        <v>143080</v>
      </c>
      <c r="AX116" s="6">
        <f>Site3!L136</f>
        <v>152618</v>
      </c>
      <c r="AY116" s="6">
        <f>Site3!M136</f>
        <v>163415</v>
      </c>
      <c r="AZ116" s="6">
        <f>Site3!N136</f>
        <v>174493</v>
      </c>
      <c r="BA116" s="6">
        <f>Site3!O136</f>
        <v>185850</v>
      </c>
      <c r="BB116" s="6">
        <f>Site3!P136</f>
        <v>198555</v>
      </c>
      <c r="BD116" s="6">
        <f>Site4!E136</f>
        <v>78750</v>
      </c>
      <c r="BE116" s="6">
        <f>Site4!F136</f>
        <v>116025</v>
      </c>
      <c r="BF116" s="6">
        <f>Site4!G136</f>
        <v>136500</v>
      </c>
      <c r="BG116" s="6">
        <f>Site4!H136</f>
        <v>146545</v>
      </c>
      <c r="BH116" s="6">
        <f>Site4!I136</f>
        <v>156870</v>
      </c>
      <c r="BI116" s="6">
        <f>Site4!J136</f>
        <v>167475</v>
      </c>
      <c r="BJ116" s="6">
        <f>Site4!K136</f>
        <v>179340</v>
      </c>
      <c r="BK116" s="6">
        <f>Site4!L136</f>
        <v>191520</v>
      </c>
      <c r="BL116" s="6">
        <f>Site4!M136</f>
        <v>205030</v>
      </c>
      <c r="BM116" s="6">
        <f>Site4!N136</f>
        <v>218890</v>
      </c>
      <c r="BN116" s="6">
        <f>Site4!O136</f>
        <v>234150</v>
      </c>
      <c r="BO116" s="6">
        <f>Site4!P136</f>
        <v>249795</v>
      </c>
      <c r="BQ116" s="6">
        <f>Site5!E136</f>
        <v>49218.75</v>
      </c>
      <c r="BR116" s="6">
        <f>Site5!F136</f>
        <v>70284.75</v>
      </c>
      <c r="BS116" s="6">
        <f>Site5!G136</f>
        <v>81900</v>
      </c>
      <c r="BT116" s="6">
        <f>Site5!H136</f>
        <v>87648.75</v>
      </c>
      <c r="BU116" s="6">
        <f>Site5!I136</f>
        <v>93555</v>
      </c>
      <c r="BV116" s="6">
        <f>Site5!J136</f>
        <v>100341</v>
      </c>
      <c r="BW116" s="6">
        <f>Site5!K136</f>
        <v>107310</v>
      </c>
      <c r="BX116" s="6">
        <f>Site5!L136</f>
        <v>114463.5</v>
      </c>
      <c r="BY116" s="6">
        <f>Site5!M136</f>
        <v>122561.25</v>
      </c>
      <c r="BZ116" s="6">
        <f>Site5!N136</f>
        <v>130869.75</v>
      </c>
      <c r="CA116" s="6">
        <f>Site5!O136</f>
        <v>139387.5</v>
      </c>
      <c r="CB116" s="6">
        <f>Site5!P136</f>
        <v>148916.25</v>
      </c>
      <c r="CD116" s="6">
        <f>Site6!E136</f>
        <v>0</v>
      </c>
      <c r="CE116" s="6">
        <f>Site6!F136</f>
        <v>0</v>
      </c>
      <c r="CF116" s="6">
        <f>Site6!G136</f>
        <v>81900</v>
      </c>
      <c r="CG116" s="6">
        <f>Site6!H136</f>
        <v>120575</v>
      </c>
      <c r="CH116" s="6">
        <f>Site6!I136</f>
        <v>141750</v>
      </c>
      <c r="CI116" s="6">
        <f>Site6!J136</f>
        <v>152075</v>
      </c>
      <c r="CJ116" s="6">
        <f>Site6!K136</f>
        <v>162680</v>
      </c>
      <c r="CK116" s="6">
        <f>Site6!L136</f>
        <v>173565</v>
      </c>
      <c r="CL116" s="6">
        <f>Site6!M136</f>
        <v>185745</v>
      </c>
      <c r="CM116" s="6">
        <f>Site6!N136</f>
        <v>198240</v>
      </c>
      <c r="CN116" s="6">
        <f>Site6!O136</f>
        <v>212100</v>
      </c>
      <c r="CO116" s="6">
        <f>Site6!P136</f>
        <v>226310</v>
      </c>
    </row>
    <row r="117" spans="1:107" hidden="1" outlineLevel="1" x14ac:dyDescent="0.25">
      <c r="A117" s="100">
        <v>6569</v>
      </c>
      <c r="B117" s="18" t="s">
        <v>562</v>
      </c>
      <c r="D117" s="154">
        <f t="shared" si="22"/>
        <v>869793.75</v>
      </c>
      <c r="E117" s="154">
        <f t="shared" si="23"/>
        <v>993257.25</v>
      </c>
      <c r="F117" s="154">
        <f t="shared" si="24"/>
        <v>1185340</v>
      </c>
      <c r="G117" s="154">
        <f t="shared" si="25"/>
        <v>1293451.75</v>
      </c>
      <c r="H117" s="154">
        <f t="shared" si="26"/>
        <v>1379403</v>
      </c>
      <c r="I117" s="154">
        <f t="shared" si="27"/>
        <v>1454386.5</v>
      </c>
      <c r="J117" s="154">
        <f t="shared" si="28"/>
        <v>1533798</v>
      </c>
      <c r="K117" s="154">
        <f t="shared" si="29"/>
        <v>1615103</v>
      </c>
      <c r="L117" s="154">
        <f t="shared" si="30"/>
        <v>1704772.25</v>
      </c>
      <c r="M117" s="154">
        <f t="shared" si="31"/>
        <v>1796558.25</v>
      </c>
      <c r="N117" s="154">
        <f t="shared" si="32"/>
        <v>1893277.5</v>
      </c>
      <c r="O117" s="154">
        <f t="shared" si="33"/>
        <v>1994715.25</v>
      </c>
      <c r="Q117" s="6">
        <f>Site1!E137</f>
        <v>352500</v>
      </c>
      <c r="R117" s="6">
        <f>Site1!F137</f>
        <v>366741</v>
      </c>
      <c r="S117" s="6">
        <f>Site1!G137</f>
        <v>381264</v>
      </c>
      <c r="T117" s="6">
        <f>Site1!H137</f>
        <v>396069</v>
      </c>
      <c r="U117" s="6">
        <f>Site1!I137</f>
        <v>411156</v>
      </c>
      <c r="V117" s="6">
        <f>Site1!J137</f>
        <v>426525</v>
      </c>
      <c r="W117" s="6">
        <f>Site1!K137</f>
        <v>443492</v>
      </c>
      <c r="X117" s="6">
        <f>Site1!L137</f>
        <v>460788</v>
      </c>
      <c r="Y117" s="6">
        <f>Site1!M137</f>
        <v>478413</v>
      </c>
      <c r="Z117" s="6">
        <f>Site1!N137</f>
        <v>496367</v>
      </c>
      <c r="AA117" s="6">
        <f>Site1!O137</f>
        <v>514650</v>
      </c>
      <c r="AB117" s="6">
        <f>Site1!P137</f>
        <v>533262</v>
      </c>
      <c r="AC117" s="37"/>
      <c r="AD117" s="6">
        <f>Site2!E137</f>
        <v>235000</v>
      </c>
      <c r="AE117" s="6">
        <f>Site2!F137</f>
        <v>244494</v>
      </c>
      <c r="AF117" s="6">
        <f>Site2!G137</f>
        <v>254176</v>
      </c>
      <c r="AG117" s="6">
        <f>Site2!H137</f>
        <v>264046</v>
      </c>
      <c r="AH117" s="6">
        <f>Site2!I137</f>
        <v>274104</v>
      </c>
      <c r="AI117" s="6">
        <f>Site2!J137</f>
        <v>284350</v>
      </c>
      <c r="AJ117" s="6">
        <f>Site2!K137</f>
        <v>294784</v>
      </c>
      <c r="AK117" s="6">
        <f>Site2!L137</f>
        <v>305406</v>
      </c>
      <c r="AL117" s="6">
        <f>Site2!M137</f>
        <v>317579</v>
      </c>
      <c r="AM117" s="6">
        <f>Site2!N137</f>
        <v>329987</v>
      </c>
      <c r="AN117" s="6">
        <f>Site2!O137</f>
        <v>342630</v>
      </c>
      <c r="AO117" s="6">
        <f>Site2!P137</f>
        <v>355508</v>
      </c>
      <c r="AQ117" s="6">
        <f>Site3!E137</f>
        <v>99875</v>
      </c>
      <c r="AR117" s="6">
        <f>Site3!F137</f>
        <v>131835</v>
      </c>
      <c r="AS117" s="6">
        <f>Site3!G137</f>
        <v>146640</v>
      </c>
      <c r="AT117" s="6">
        <f>Site3!H137</f>
        <v>156933</v>
      </c>
      <c r="AU117" s="6">
        <f>Site3!I137</f>
        <v>167508</v>
      </c>
      <c r="AV117" s="6">
        <f>Site3!J137</f>
        <v>179658</v>
      </c>
      <c r="AW117" s="6">
        <f>Site3!K137</f>
        <v>192136</v>
      </c>
      <c r="AX117" s="6">
        <f>Site3!L137</f>
        <v>204944</v>
      </c>
      <c r="AY117" s="6">
        <f>Site3!M137</f>
        <v>219443</v>
      </c>
      <c r="AZ117" s="6">
        <f>Site3!N137</f>
        <v>234319</v>
      </c>
      <c r="BA117" s="6">
        <f>Site3!O137</f>
        <v>249570</v>
      </c>
      <c r="BB117" s="6">
        <f>Site3!P137</f>
        <v>266631</v>
      </c>
      <c r="BD117" s="6">
        <f>Site4!E137</f>
        <v>116325</v>
      </c>
      <c r="BE117" s="6">
        <f>Site4!F137</f>
        <v>155805</v>
      </c>
      <c r="BF117" s="6">
        <f>Site4!G137</f>
        <v>183300</v>
      </c>
      <c r="BG117" s="6">
        <f>Site4!H137</f>
        <v>196789</v>
      </c>
      <c r="BH117" s="6">
        <f>Site4!I137</f>
        <v>210654</v>
      </c>
      <c r="BI117" s="6">
        <f>Site4!J137</f>
        <v>224895</v>
      </c>
      <c r="BJ117" s="6">
        <f>Site4!K137</f>
        <v>240828</v>
      </c>
      <c r="BK117" s="6">
        <f>Site4!L137</f>
        <v>257184</v>
      </c>
      <c r="BL117" s="6">
        <f>Site4!M137</f>
        <v>275326</v>
      </c>
      <c r="BM117" s="6">
        <f>Site4!N137</f>
        <v>293938</v>
      </c>
      <c r="BN117" s="6">
        <f>Site4!O137</f>
        <v>314430</v>
      </c>
      <c r="BO117" s="6">
        <f>Site4!P137</f>
        <v>335439</v>
      </c>
      <c r="BQ117" s="6">
        <f>Site5!E137</f>
        <v>66093.75</v>
      </c>
      <c r="BR117" s="6">
        <f>Site5!F137</f>
        <v>94382.25</v>
      </c>
      <c r="BS117" s="6">
        <f>Site5!G137</f>
        <v>109980</v>
      </c>
      <c r="BT117" s="6">
        <f>Site5!H137</f>
        <v>117699.75</v>
      </c>
      <c r="BU117" s="6">
        <f>Site5!I137</f>
        <v>125631</v>
      </c>
      <c r="BV117" s="6">
        <f>Site5!J137</f>
        <v>134743.5</v>
      </c>
      <c r="BW117" s="6">
        <f>Site5!K137</f>
        <v>144102</v>
      </c>
      <c r="BX117" s="6">
        <f>Site5!L137</f>
        <v>153708</v>
      </c>
      <c r="BY117" s="6">
        <f>Site5!M137</f>
        <v>164582.25</v>
      </c>
      <c r="BZ117" s="6">
        <f>Site5!N137</f>
        <v>175739.25</v>
      </c>
      <c r="CA117" s="6">
        <f>Site5!O137</f>
        <v>187177.5</v>
      </c>
      <c r="CB117" s="6">
        <f>Site5!P137</f>
        <v>199973.25</v>
      </c>
      <c r="CD117" s="6">
        <f>Site6!E137</f>
        <v>0</v>
      </c>
      <c r="CE117" s="6">
        <f>Site6!F137</f>
        <v>0</v>
      </c>
      <c r="CF117" s="6">
        <f>Site6!G137</f>
        <v>109980</v>
      </c>
      <c r="CG117" s="6">
        <f>Site6!H137</f>
        <v>161915</v>
      </c>
      <c r="CH117" s="6">
        <f>Site6!I137</f>
        <v>190350</v>
      </c>
      <c r="CI117" s="6">
        <f>Site6!J137</f>
        <v>204215</v>
      </c>
      <c r="CJ117" s="6">
        <f>Site6!K137</f>
        <v>218456</v>
      </c>
      <c r="CK117" s="6">
        <f>Site6!L137</f>
        <v>233073</v>
      </c>
      <c r="CL117" s="6">
        <f>Site6!M137</f>
        <v>249429</v>
      </c>
      <c r="CM117" s="6">
        <f>Site6!N137</f>
        <v>266208</v>
      </c>
      <c r="CN117" s="6">
        <f>Site6!O137</f>
        <v>284820</v>
      </c>
      <c r="CO117" s="6">
        <f>Site6!P137</f>
        <v>303902</v>
      </c>
    </row>
    <row r="118" spans="1:107" s="30" customFormat="1" collapsed="1" x14ac:dyDescent="0.25">
      <c r="A118" s="101">
        <v>560</v>
      </c>
      <c r="B118" s="274" t="s">
        <v>446</v>
      </c>
      <c r="D118" s="260">
        <f t="shared" si="22"/>
        <v>1544887.5</v>
      </c>
      <c r="E118" s="260">
        <f t="shared" si="23"/>
        <v>1773207</v>
      </c>
      <c r="F118" s="260">
        <f t="shared" si="24"/>
        <v>2113800</v>
      </c>
      <c r="G118" s="260">
        <f t="shared" si="25"/>
        <v>2305738.5</v>
      </c>
      <c r="H118" s="260">
        <f t="shared" si="26"/>
        <v>2458566</v>
      </c>
      <c r="I118" s="260">
        <f t="shared" si="27"/>
        <v>2592110.5</v>
      </c>
      <c r="J118" s="260">
        <f t="shared" si="28"/>
        <v>2733528</v>
      </c>
      <c r="K118" s="260">
        <f t="shared" si="29"/>
        <v>2878316.5</v>
      </c>
      <c r="L118" s="260">
        <f t="shared" si="30"/>
        <v>3037996.5</v>
      </c>
      <c r="M118" s="260">
        <f t="shared" si="31"/>
        <v>3201445</v>
      </c>
      <c r="N118" s="260">
        <f t="shared" si="32"/>
        <v>3373635</v>
      </c>
      <c r="O118" s="260">
        <f t="shared" si="33"/>
        <v>3554256.5</v>
      </c>
      <c r="Q118" s="261">
        <f>Site1!E138</f>
        <v>630000</v>
      </c>
      <c r="R118" s="261">
        <f>Site1!F138</f>
        <v>655452</v>
      </c>
      <c r="S118" s="261">
        <f>Site1!G138</f>
        <v>681408</v>
      </c>
      <c r="T118" s="261">
        <f>Site1!H138</f>
        <v>707868</v>
      </c>
      <c r="U118" s="261">
        <f>Site1!I138</f>
        <v>734832</v>
      </c>
      <c r="V118" s="261">
        <f>Site1!J138</f>
        <v>762300</v>
      </c>
      <c r="W118" s="261">
        <f>Site1!K138</f>
        <v>792624</v>
      </c>
      <c r="X118" s="261">
        <f>Site1!L138</f>
        <v>823536</v>
      </c>
      <c r="Y118" s="261">
        <f>Site1!M138</f>
        <v>855036</v>
      </c>
      <c r="Z118" s="261">
        <f>Site1!N138</f>
        <v>887124</v>
      </c>
      <c r="AA118" s="261">
        <f>Site1!O138</f>
        <v>919800</v>
      </c>
      <c r="AB118" s="261">
        <f>Site1!P138</f>
        <v>953064</v>
      </c>
      <c r="AC118" s="71"/>
      <c r="AD118" s="261">
        <f>Site2!E138</f>
        <v>420000</v>
      </c>
      <c r="AE118" s="261">
        <f>Site2!F138</f>
        <v>436968</v>
      </c>
      <c r="AF118" s="261">
        <f>Site2!G138</f>
        <v>454272</v>
      </c>
      <c r="AG118" s="261">
        <f>Site2!H138</f>
        <v>471912</v>
      </c>
      <c r="AH118" s="261">
        <f>Site2!I138</f>
        <v>489888</v>
      </c>
      <c r="AI118" s="261">
        <f>Site2!J138</f>
        <v>508200</v>
      </c>
      <c r="AJ118" s="261">
        <f>Site2!K138</f>
        <v>526848</v>
      </c>
      <c r="AK118" s="261">
        <f>Site2!L138</f>
        <v>545832</v>
      </c>
      <c r="AL118" s="261">
        <f>Site2!M138</f>
        <v>567588</v>
      </c>
      <c r="AM118" s="261">
        <f>Site2!N138</f>
        <v>589764</v>
      </c>
      <c r="AN118" s="261">
        <f>Site2!O138</f>
        <v>612360</v>
      </c>
      <c r="AO118" s="261">
        <f>Site2!P138</f>
        <v>635376</v>
      </c>
      <c r="AQ118" s="261">
        <f>Site3!E138</f>
        <v>178500</v>
      </c>
      <c r="AR118" s="261">
        <f>Site3!F138</f>
        <v>235620</v>
      </c>
      <c r="AS118" s="261">
        <f>Site3!G138</f>
        <v>262080</v>
      </c>
      <c r="AT118" s="261">
        <f>Site3!H138</f>
        <v>280476</v>
      </c>
      <c r="AU118" s="261">
        <f>Site3!I138</f>
        <v>299376</v>
      </c>
      <c r="AV118" s="261">
        <f>Site3!J138</f>
        <v>321091</v>
      </c>
      <c r="AW118" s="261">
        <f>Site3!K138</f>
        <v>343392</v>
      </c>
      <c r="AX118" s="261">
        <f>Site3!L138</f>
        <v>366283</v>
      </c>
      <c r="AY118" s="261">
        <f>Site3!M138</f>
        <v>392196</v>
      </c>
      <c r="AZ118" s="261">
        <f>Site3!N138</f>
        <v>418783</v>
      </c>
      <c r="BA118" s="261">
        <f>Site3!O138</f>
        <v>446040</v>
      </c>
      <c r="BB118" s="261">
        <f>Site3!P138</f>
        <v>476532</v>
      </c>
      <c r="BD118" s="261">
        <f>Site4!E138</f>
        <v>197325</v>
      </c>
      <c r="BE118" s="261">
        <f>Site4!F138</f>
        <v>275145</v>
      </c>
      <c r="BF118" s="261">
        <f>Site4!G138</f>
        <v>323700</v>
      </c>
      <c r="BG118" s="261">
        <f>Site4!H138</f>
        <v>347521</v>
      </c>
      <c r="BH118" s="261">
        <f>Site4!I138</f>
        <v>372006</v>
      </c>
      <c r="BI118" s="261">
        <f>Site4!J138</f>
        <v>397155</v>
      </c>
      <c r="BJ118" s="261">
        <f>Site4!K138</f>
        <v>425292</v>
      </c>
      <c r="BK118" s="261">
        <f>Site4!L138</f>
        <v>454176</v>
      </c>
      <c r="BL118" s="261">
        <f>Site4!M138</f>
        <v>486214</v>
      </c>
      <c r="BM118" s="261">
        <f>Site4!N138</f>
        <v>519082</v>
      </c>
      <c r="BN118" s="261">
        <f>Site4!O138</f>
        <v>555270</v>
      </c>
      <c r="BO118" s="261">
        <f>Site4!P138</f>
        <v>592371</v>
      </c>
      <c r="BQ118" s="261">
        <f>Site5!E138</f>
        <v>119062.5</v>
      </c>
      <c r="BR118" s="261">
        <f>Site5!F138</f>
        <v>170022</v>
      </c>
      <c r="BS118" s="261">
        <f>Site5!G138</f>
        <v>198120</v>
      </c>
      <c r="BT118" s="261">
        <f>Site5!H138</f>
        <v>212026.5</v>
      </c>
      <c r="BU118" s="261">
        <f>Site5!I138</f>
        <v>226314</v>
      </c>
      <c r="BV118" s="261">
        <f>Site5!J138</f>
        <v>242729.5</v>
      </c>
      <c r="BW118" s="261">
        <f>Site5!K138</f>
        <v>259588</v>
      </c>
      <c r="BX118" s="261">
        <f>Site5!L138</f>
        <v>276892.5</v>
      </c>
      <c r="BY118" s="261">
        <f>Site5!M138</f>
        <v>296481.5</v>
      </c>
      <c r="BZ118" s="261">
        <f>Site5!N138</f>
        <v>316580</v>
      </c>
      <c r="CA118" s="261">
        <f>Site5!O138</f>
        <v>337185</v>
      </c>
      <c r="CB118" s="261">
        <f>Site5!P138</f>
        <v>360235.5</v>
      </c>
      <c r="CD118" s="261">
        <f>Site6!E138</f>
        <v>0</v>
      </c>
      <c r="CE118" s="261">
        <f>Site6!F138</f>
        <v>0</v>
      </c>
      <c r="CF118" s="261">
        <f>Site6!G138</f>
        <v>194220</v>
      </c>
      <c r="CG118" s="261">
        <f>Site6!H138</f>
        <v>285935</v>
      </c>
      <c r="CH118" s="261">
        <f>Site6!I138</f>
        <v>336150</v>
      </c>
      <c r="CI118" s="261">
        <f>Site6!J138</f>
        <v>360635</v>
      </c>
      <c r="CJ118" s="261">
        <f>Site6!K138</f>
        <v>385784</v>
      </c>
      <c r="CK118" s="261">
        <f>Site6!L138</f>
        <v>411597</v>
      </c>
      <c r="CL118" s="261">
        <f>Site6!M138</f>
        <v>440481</v>
      </c>
      <c r="CM118" s="261">
        <f>Site6!N138</f>
        <v>470112</v>
      </c>
      <c r="CN118" s="261">
        <f>Site6!O138</f>
        <v>502980</v>
      </c>
      <c r="CO118" s="261">
        <f>Site6!P138</f>
        <v>536678</v>
      </c>
    </row>
    <row r="119" spans="1:107" s="269" customFormat="1" x14ac:dyDescent="0.25">
      <c r="A119" s="284">
        <v>580</v>
      </c>
      <c r="B119" s="276" t="s">
        <v>289</v>
      </c>
      <c r="D119" s="278">
        <f t="shared" si="22"/>
        <v>6500</v>
      </c>
      <c r="E119" s="278">
        <f t="shared" si="23"/>
        <v>9180</v>
      </c>
      <c r="F119" s="278">
        <f t="shared" si="24"/>
        <v>11180</v>
      </c>
      <c r="G119" s="278">
        <f t="shared" si="25"/>
        <v>12985</v>
      </c>
      <c r="H119" s="278">
        <f t="shared" si="26"/>
        <v>13230</v>
      </c>
      <c r="I119" s="278">
        <f t="shared" si="27"/>
        <v>13475</v>
      </c>
      <c r="J119" s="278">
        <f t="shared" si="28"/>
        <v>13720</v>
      </c>
      <c r="K119" s="278">
        <f t="shared" si="29"/>
        <v>14820</v>
      </c>
      <c r="L119" s="278">
        <f t="shared" si="30"/>
        <v>15660</v>
      </c>
      <c r="M119" s="278">
        <f t="shared" si="31"/>
        <v>16225</v>
      </c>
      <c r="N119" s="278">
        <f t="shared" si="32"/>
        <v>16500</v>
      </c>
      <c r="O119" s="278">
        <f t="shared" si="33"/>
        <v>16775</v>
      </c>
      <c r="Q119" s="287">
        <f>Site1!E139</f>
        <v>1500</v>
      </c>
      <c r="R119" s="287">
        <f>Site1!F139</f>
        <v>1530</v>
      </c>
      <c r="S119" s="287">
        <f>Site1!G139</f>
        <v>1560</v>
      </c>
      <c r="T119" s="287">
        <f>Site1!H139</f>
        <v>1590</v>
      </c>
      <c r="U119" s="287">
        <f>Site1!I139</f>
        <v>1620</v>
      </c>
      <c r="V119" s="287">
        <f>Site1!J139</f>
        <v>1650</v>
      </c>
      <c r="W119" s="287">
        <f>Site1!K139</f>
        <v>1680</v>
      </c>
      <c r="X119" s="287">
        <f>Site1!L139</f>
        <v>1710</v>
      </c>
      <c r="Y119" s="287">
        <f>Site1!M139</f>
        <v>1740</v>
      </c>
      <c r="Z119" s="287">
        <f>Site1!N139</f>
        <v>1770</v>
      </c>
      <c r="AA119" s="287">
        <f>Site1!O139</f>
        <v>1800</v>
      </c>
      <c r="AB119" s="287">
        <f>Site1!P139</f>
        <v>1830</v>
      </c>
      <c r="AD119" s="287">
        <f>Site2!E139</f>
        <v>1500</v>
      </c>
      <c r="AE119" s="287">
        <f>Site2!F139</f>
        <v>1530</v>
      </c>
      <c r="AF119" s="287">
        <f>Site2!G139</f>
        <v>1560</v>
      </c>
      <c r="AG119" s="287">
        <f>Site2!H139</f>
        <v>1590</v>
      </c>
      <c r="AH119" s="287">
        <f>Site2!I139</f>
        <v>1620</v>
      </c>
      <c r="AI119" s="287">
        <f>Site2!J139</f>
        <v>1650</v>
      </c>
      <c r="AJ119" s="287">
        <f>Site2!K139</f>
        <v>1680</v>
      </c>
      <c r="AK119" s="287">
        <f>Site2!L139</f>
        <v>1710</v>
      </c>
      <c r="AL119" s="287">
        <f>Site2!M139</f>
        <v>1740</v>
      </c>
      <c r="AM119" s="287">
        <f>Site2!N139</f>
        <v>1770</v>
      </c>
      <c r="AN119" s="287">
        <f>Site2!O139</f>
        <v>1800</v>
      </c>
      <c r="AO119" s="287">
        <f>Site2!P139</f>
        <v>1830</v>
      </c>
      <c r="AQ119" s="287">
        <f>Site3!E139</f>
        <v>1000</v>
      </c>
      <c r="AR119" s="287">
        <f>Site3!F139</f>
        <v>2040</v>
      </c>
      <c r="AS119" s="287">
        <f>Site3!G139</f>
        <v>2080</v>
      </c>
      <c r="AT119" s="287">
        <f>Site3!H139</f>
        <v>2120</v>
      </c>
      <c r="AU119" s="287">
        <f>Site3!I139</f>
        <v>2160</v>
      </c>
      <c r="AV119" s="287">
        <f>Site3!J139</f>
        <v>2200</v>
      </c>
      <c r="AW119" s="287">
        <f>Site3!K139</f>
        <v>2240</v>
      </c>
      <c r="AX119" s="287">
        <f>Site3!L139</f>
        <v>2280</v>
      </c>
      <c r="AY119" s="287">
        <f>Site3!M139</f>
        <v>2900</v>
      </c>
      <c r="AZ119" s="287">
        <f>Site3!N139</f>
        <v>2950</v>
      </c>
      <c r="BA119" s="287">
        <f>Site3!O139</f>
        <v>3000</v>
      </c>
      <c r="BB119" s="287">
        <f>Site3!P139</f>
        <v>3050</v>
      </c>
      <c r="BD119" s="287">
        <f>Site4!E139</f>
        <v>1500</v>
      </c>
      <c r="BE119" s="287">
        <f>Site4!F139</f>
        <v>3060</v>
      </c>
      <c r="BF119" s="287">
        <f>Site4!G139</f>
        <v>3120</v>
      </c>
      <c r="BG119" s="287">
        <f>Site4!H139</f>
        <v>3180</v>
      </c>
      <c r="BH119" s="287">
        <f>Site4!I139</f>
        <v>3240</v>
      </c>
      <c r="BI119" s="287">
        <f>Site4!J139</f>
        <v>3300</v>
      </c>
      <c r="BJ119" s="287">
        <f>Site4!K139</f>
        <v>3360</v>
      </c>
      <c r="BK119" s="287">
        <f>Site4!L139</f>
        <v>4275</v>
      </c>
      <c r="BL119" s="287">
        <f>Site4!M139</f>
        <v>4350</v>
      </c>
      <c r="BM119" s="287">
        <f>Site4!N139</f>
        <v>4425</v>
      </c>
      <c r="BN119" s="287">
        <f>Site4!O139</f>
        <v>4500</v>
      </c>
      <c r="BO119" s="287">
        <f>Site4!P139</f>
        <v>4575</v>
      </c>
      <c r="BQ119" s="287">
        <f>Site5!E139</f>
        <v>1000</v>
      </c>
      <c r="BR119" s="287">
        <f>Site5!F139</f>
        <v>1020</v>
      </c>
      <c r="BS119" s="287">
        <f>Site5!G139</f>
        <v>1300</v>
      </c>
      <c r="BT119" s="287">
        <f>Site5!H139</f>
        <v>1325</v>
      </c>
      <c r="BU119" s="287">
        <f>Site5!I139</f>
        <v>1350</v>
      </c>
      <c r="BV119" s="287">
        <f>Site5!J139</f>
        <v>1375</v>
      </c>
      <c r="BW119" s="287">
        <f>Site5!K139</f>
        <v>1400</v>
      </c>
      <c r="BX119" s="287">
        <f>Site5!L139</f>
        <v>1425</v>
      </c>
      <c r="BY119" s="287">
        <f>Site5!M139</f>
        <v>1450</v>
      </c>
      <c r="BZ119" s="287">
        <f>Site5!N139</f>
        <v>1770</v>
      </c>
      <c r="CA119" s="287">
        <f>Site5!O139</f>
        <v>1800</v>
      </c>
      <c r="CB119" s="287">
        <f>Site5!P139</f>
        <v>1830</v>
      </c>
      <c r="CD119" s="287">
        <f>Site6!E139</f>
        <v>0</v>
      </c>
      <c r="CE119" s="287">
        <f>Site6!F139</f>
        <v>0</v>
      </c>
      <c r="CF119" s="287">
        <f>Site6!G139</f>
        <v>1560</v>
      </c>
      <c r="CG119" s="287">
        <f>Site6!H139</f>
        <v>3180</v>
      </c>
      <c r="CH119" s="287">
        <f>Site6!I139</f>
        <v>3240</v>
      </c>
      <c r="CI119" s="287">
        <f>Site6!J139</f>
        <v>3300</v>
      </c>
      <c r="CJ119" s="287">
        <f>Site6!K139</f>
        <v>3360</v>
      </c>
      <c r="CK119" s="287">
        <f>Site6!L139</f>
        <v>3420</v>
      </c>
      <c r="CL119" s="287">
        <f>Site6!M139</f>
        <v>3480</v>
      </c>
      <c r="CM119" s="287">
        <f>Site6!N139</f>
        <v>3540</v>
      </c>
      <c r="CN119" s="287">
        <f>Site6!O139</f>
        <v>3600</v>
      </c>
      <c r="CO119" s="287">
        <f>Site6!P139</f>
        <v>3660</v>
      </c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</row>
    <row r="120" spans="1:107" s="269" customFormat="1" x14ac:dyDescent="0.25">
      <c r="A120" s="284">
        <v>610</v>
      </c>
      <c r="B120" s="276" t="s">
        <v>465</v>
      </c>
      <c r="D120" s="278">
        <f t="shared" si="22"/>
        <v>65020</v>
      </c>
      <c r="E120" s="278">
        <f t="shared" si="23"/>
        <v>13097</v>
      </c>
      <c r="F120" s="278">
        <f t="shared" si="24"/>
        <v>14758</v>
      </c>
      <c r="G120" s="278">
        <f t="shared" si="25"/>
        <v>15995</v>
      </c>
      <c r="H120" s="278">
        <f t="shared" si="26"/>
        <v>16297</v>
      </c>
      <c r="I120" s="278">
        <f t="shared" si="27"/>
        <v>16599</v>
      </c>
      <c r="J120" s="278">
        <f t="shared" si="28"/>
        <v>16901</v>
      </c>
      <c r="K120" s="278">
        <f t="shared" si="29"/>
        <v>17716</v>
      </c>
      <c r="L120" s="278">
        <f t="shared" si="30"/>
        <v>19140</v>
      </c>
      <c r="M120" s="278">
        <f t="shared" si="31"/>
        <v>20001</v>
      </c>
      <c r="N120" s="278">
        <f t="shared" si="32"/>
        <v>20340</v>
      </c>
      <c r="O120" s="278">
        <f t="shared" si="33"/>
        <v>20679</v>
      </c>
      <c r="Q120" s="287">
        <f>Site1!E140</f>
        <v>2700</v>
      </c>
      <c r="R120" s="287">
        <f>Site1!F140</f>
        <v>2754</v>
      </c>
      <c r="S120" s="287">
        <f>Site1!G140</f>
        <v>2808</v>
      </c>
      <c r="T120" s="287">
        <f>Site1!H140</f>
        <v>2862</v>
      </c>
      <c r="U120" s="287">
        <f>Site1!I140</f>
        <v>2916</v>
      </c>
      <c r="V120" s="287">
        <f>Site1!J140</f>
        <v>2970</v>
      </c>
      <c r="W120" s="287">
        <f>Site1!K140</f>
        <v>3024</v>
      </c>
      <c r="X120" s="287">
        <f>Site1!L140</f>
        <v>3078</v>
      </c>
      <c r="Y120" s="287">
        <f>Site1!M140</f>
        <v>3132</v>
      </c>
      <c r="Z120" s="287">
        <f>Site1!N140</f>
        <v>3186</v>
      </c>
      <c r="AA120" s="287">
        <f>Site1!O140</f>
        <v>3240</v>
      </c>
      <c r="AB120" s="287">
        <f>Site1!P140</f>
        <v>3294</v>
      </c>
      <c r="AD120" s="287">
        <f>Site2!E140</f>
        <v>2700</v>
      </c>
      <c r="AE120" s="287">
        <f>Site2!F140</f>
        <v>2754</v>
      </c>
      <c r="AF120" s="287">
        <f>Site2!G140</f>
        <v>2808</v>
      </c>
      <c r="AG120" s="287">
        <f>Site2!H140</f>
        <v>2862</v>
      </c>
      <c r="AH120" s="287">
        <f>Site2!I140</f>
        <v>2916</v>
      </c>
      <c r="AI120" s="287">
        <f>Site2!J140</f>
        <v>2970</v>
      </c>
      <c r="AJ120" s="287">
        <f>Site2!K140</f>
        <v>3024</v>
      </c>
      <c r="AK120" s="287">
        <f>Site2!L140</f>
        <v>3078</v>
      </c>
      <c r="AL120" s="287">
        <f>Site2!M140</f>
        <v>3132</v>
      </c>
      <c r="AM120" s="287">
        <f>Site2!N140</f>
        <v>3186</v>
      </c>
      <c r="AN120" s="287">
        <f>Site2!O140</f>
        <v>3240</v>
      </c>
      <c r="AO120" s="287">
        <f>Site2!P140</f>
        <v>3294</v>
      </c>
      <c r="AQ120" s="287">
        <f>Site3!E140</f>
        <v>1920</v>
      </c>
      <c r="AR120" s="287">
        <f>Site3!F140</f>
        <v>3917</v>
      </c>
      <c r="AS120" s="287">
        <f>Site3!G140</f>
        <v>3994</v>
      </c>
      <c r="AT120" s="287">
        <f>Site3!H140</f>
        <v>4070</v>
      </c>
      <c r="AU120" s="287">
        <f>Site3!I140</f>
        <v>4147</v>
      </c>
      <c r="AV120" s="287">
        <f>Site3!J140</f>
        <v>4224</v>
      </c>
      <c r="AW120" s="287">
        <f>Site3!K140</f>
        <v>4301</v>
      </c>
      <c r="AX120" s="287">
        <f>Site3!L140</f>
        <v>4378</v>
      </c>
      <c r="AY120" s="287">
        <f>Site3!M140</f>
        <v>5568</v>
      </c>
      <c r="AZ120" s="287">
        <f>Site3!N140</f>
        <v>5664</v>
      </c>
      <c r="BA120" s="287">
        <f>Site3!O140</f>
        <v>5760</v>
      </c>
      <c r="BB120" s="287">
        <f>Site3!P140</f>
        <v>5856</v>
      </c>
      <c r="BD120" s="287">
        <f>Site4!E140</f>
        <v>900</v>
      </c>
      <c r="BE120" s="287">
        <f>Site4!F140</f>
        <v>1836</v>
      </c>
      <c r="BF120" s="287">
        <f>Site4!G140</f>
        <v>1872</v>
      </c>
      <c r="BG120" s="287">
        <f>Site4!H140</f>
        <v>1908</v>
      </c>
      <c r="BH120" s="287">
        <f>Site4!I140</f>
        <v>1944</v>
      </c>
      <c r="BI120" s="287">
        <f>Site4!J140</f>
        <v>1980</v>
      </c>
      <c r="BJ120" s="287">
        <f>Site4!K140</f>
        <v>2016</v>
      </c>
      <c r="BK120" s="287">
        <f>Site4!L140</f>
        <v>2565</v>
      </c>
      <c r="BL120" s="287">
        <f>Site4!M140</f>
        <v>2610</v>
      </c>
      <c r="BM120" s="287">
        <f>Site4!N140</f>
        <v>2655</v>
      </c>
      <c r="BN120" s="287">
        <f>Site4!O140</f>
        <v>2700</v>
      </c>
      <c r="BO120" s="287">
        <f>Site4!P140</f>
        <v>2745</v>
      </c>
      <c r="BQ120" s="287">
        <f>Site5!E140</f>
        <v>56800</v>
      </c>
      <c r="BR120" s="287">
        <f>Site5!F140</f>
        <v>1836</v>
      </c>
      <c r="BS120" s="287">
        <f>Site5!G140</f>
        <v>2340</v>
      </c>
      <c r="BT120" s="287">
        <f>Site5!H140</f>
        <v>2385</v>
      </c>
      <c r="BU120" s="287">
        <f>Site5!I140</f>
        <v>2430</v>
      </c>
      <c r="BV120" s="287">
        <f>Site5!J140</f>
        <v>2475</v>
      </c>
      <c r="BW120" s="287">
        <f>Site5!K140</f>
        <v>2520</v>
      </c>
      <c r="BX120" s="287">
        <f>Site5!L140</f>
        <v>2565</v>
      </c>
      <c r="BY120" s="287">
        <f>Site5!M140</f>
        <v>2610</v>
      </c>
      <c r="BZ120" s="287">
        <f>Site5!N140</f>
        <v>3186</v>
      </c>
      <c r="CA120" s="287">
        <f>Site5!O140</f>
        <v>3240</v>
      </c>
      <c r="CB120" s="287">
        <f>Site5!P140</f>
        <v>3294</v>
      </c>
      <c r="CD120" s="287">
        <f>Site6!E140</f>
        <v>0</v>
      </c>
      <c r="CE120" s="287">
        <f>Site6!F140</f>
        <v>0</v>
      </c>
      <c r="CF120" s="287">
        <f>Site6!G140</f>
        <v>936</v>
      </c>
      <c r="CG120" s="287">
        <f>Site6!H140</f>
        <v>1908</v>
      </c>
      <c r="CH120" s="287">
        <f>Site6!I140</f>
        <v>1944</v>
      </c>
      <c r="CI120" s="287">
        <f>Site6!J140</f>
        <v>1980</v>
      </c>
      <c r="CJ120" s="287">
        <f>Site6!K140</f>
        <v>2016</v>
      </c>
      <c r="CK120" s="287">
        <f>Site6!L140</f>
        <v>2052</v>
      </c>
      <c r="CL120" s="287">
        <f>Site6!M140</f>
        <v>2088</v>
      </c>
      <c r="CM120" s="287">
        <f>Site6!N140</f>
        <v>2124</v>
      </c>
      <c r="CN120" s="287">
        <f>Site6!O140</f>
        <v>2160</v>
      </c>
      <c r="CO120" s="287">
        <f>Site6!P140</f>
        <v>2196</v>
      </c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</row>
    <row r="121" spans="1:107" s="30" customFormat="1" x14ac:dyDescent="0.25">
      <c r="A121" s="284">
        <v>622</v>
      </c>
      <c r="B121" s="276" t="s">
        <v>466</v>
      </c>
      <c r="D121" s="278">
        <f t="shared" si="22"/>
        <v>21000</v>
      </c>
      <c r="E121" s="278">
        <f t="shared" si="23"/>
        <v>21420</v>
      </c>
      <c r="F121" s="278">
        <f t="shared" si="24"/>
        <v>23712</v>
      </c>
      <c r="G121" s="278">
        <f t="shared" si="25"/>
        <v>24168</v>
      </c>
      <c r="H121" s="278">
        <f t="shared" si="26"/>
        <v>24624</v>
      </c>
      <c r="I121" s="278">
        <f t="shared" si="27"/>
        <v>25080</v>
      </c>
      <c r="J121" s="278">
        <f t="shared" si="28"/>
        <v>25536</v>
      </c>
      <c r="K121" s="278">
        <f t="shared" si="29"/>
        <v>25992</v>
      </c>
      <c r="L121" s="278">
        <f t="shared" si="30"/>
        <v>26448</v>
      </c>
      <c r="M121" s="278">
        <f t="shared" si="31"/>
        <v>26904</v>
      </c>
      <c r="N121" s="278">
        <f t="shared" si="32"/>
        <v>27360</v>
      </c>
      <c r="O121" s="278">
        <f t="shared" si="33"/>
        <v>27816</v>
      </c>
      <c r="Q121" s="287">
        <f>Site1!E141</f>
        <v>8400</v>
      </c>
      <c r="R121" s="287">
        <f>Site1!F141</f>
        <v>8568</v>
      </c>
      <c r="S121" s="287">
        <f>Site1!G141</f>
        <v>8736</v>
      </c>
      <c r="T121" s="287">
        <f>Site1!H141</f>
        <v>8904</v>
      </c>
      <c r="U121" s="287">
        <f>Site1!I141</f>
        <v>9072</v>
      </c>
      <c r="V121" s="287">
        <f>Site1!J141</f>
        <v>9240</v>
      </c>
      <c r="W121" s="287">
        <f>Site1!K141</f>
        <v>9408</v>
      </c>
      <c r="X121" s="287">
        <f>Site1!L141</f>
        <v>9576</v>
      </c>
      <c r="Y121" s="287">
        <f>Site1!M141</f>
        <v>9744</v>
      </c>
      <c r="Z121" s="287">
        <f>Site1!N141</f>
        <v>9912</v>
      </c>
      <c r="AA121" s="287">
        <f>Site1!O141</f>
        <v>10080</v>
      </c>
      <c r="AB121" s="287">
        <f>Site1!P141</f>
        <v>10248</v>
      </c>
      <c r="AC121" s="71"/>
      <c r="AD121" s="287">
        <f>Site2!E141</f>
        <v>6600</v>
      </c>
      <c r="AE121" s="287">
        <f>Site2!F141</f>
        <v>6732</v>
      </c>
      <c r="AF121" s="287">
        <f>Site2!G141</f>
        <v>6864</v>
      </c>
      <c r="AG121" s="287">
        <f>Site2!H141</f>
        <v>6996</v>
      </c>
      <c r="AH121" s="287">
        <f>Site2!I141</f>
        <v>7128</v>
      </c>
      <c r="AI121" s="287">
        <f>Site2!J141</f>
        <v>7260</v>
      </c>
      <c r="AJ121" s="287">
        <f>Site2!K141</f>
        <v>7392</v>
      </c>
      <c r="AK121" s="287">
        <f>Site2!L141</f>
        <v>7524</v>
      </c>
      <c r="AL121" s="287">
        <f>Site2!M141</f>
        <v>7656</v>
      </c>
      <c r="AM121" s="287">
        <f>Site2!N141</f>
        <v>7788</v>
      </c>
      <c r="AN121" s="287">
        <f>Site2!O141</f>
        <v>7920</v>
      </c>
      <c r="AO121" s="287">
        <f>Site2!P141</f>
        <v>8052</v>
      </c>
      <c r="AQ121" s="287">
        <f>Site3!E141</f>
        <v>0</v>
      </c>
      <c r="AR121" s="287">
        <f>Site3!F141</f>
        <v>0</v>
      </c>
      <c r="AS121" s="287">
        <f>Site3!G141</f>
        <v>0</v>
      </c>
      <c r="AT121" s="287">
        <f>Site3!H141</f>
        <v>0</v>
      </c>
      <c r="AU121" s="287">
        <f>Site3!I141</f>
        <v>0</v>
      </c>
      <c r="AV121" s="287">
        <f>Site3!J141</f>
        <v>0</v>
      </c>
      <c r="AW121" s="287">
        <f>Site3!K141</f>
        <v>0</v>
      </c>
      <c r="AX121" s="287">
        <f>Site3!L141</f>
        <v>0</v>
      </c>
      <c r="AY121" s="287">
        <f>Site3!M141</f>
        <v>0</v>
      </c>
      <c r="AZ121" s="287">
        <f>Site3!N141</f>
        <v>0</v>
      </c>
      <c r="BA121" s="287">
        <f>Site3!O141</f>
        <v>0</v>
      </c>
      <c r="BB121" s="287">
        <f>Site3!P141</f>
        <v>0</v>
      </c>
      <c r="BD121" s="287">
        <f>Site4!E141</f>
        <v>1800</v>
      </c>
      <c r="BE121" s="287">
        <f>Site4!F141</f>
        <v>1836</v>
      </c>
      <c r="BF121" s="287">
        <f>Site4!G141</f>
        <v>1872</v>
      </c>
      <c r="BG121" s="287">
        <f>Site4!H141</f>
        <v>1908</v>
      </c>
      <c r="BH121" s="287">
        <f>Site4!I141</f>
        <v>1944</v>
      </c>
      <c r="BI121" s="287">
        <f>Site4!J141</f>
        <v>1980</v>
      </c>
      <c r="BJ121" s="287">
        <f>Site4!K141</f>
        <v>2016</v>
      </c>
      <c r="BK121" s="287">
        <f>Site4!L141</f>
        <v>2052</v>
      </c>
      <c r="BL121" s="287">
        <f>Site4!M141</f>
        <v>2088</v>
      </c>
      <c r="BM121" s="287">
        <f>Site4!N141</f>
        <v>2124</v>
      </c>
      <c r="BN121" s="287">
        <f>Site4!O141</f>
        <v>2160</v>
      </c>
      <c r="BO121" s="287">
        <f>Site4!P141</f>
        <v>2196</v>
      </c>
      <c r="BQ121" s="287">
        <f>Site5!E141</f>
        <v>4200</v>
      </c>
      <c r="BR121" s="287">
        <f>Site5!F141</f>
        <v>4284</v>
      </c>
      <c r="BS121" s="287">
        <f>Site5!G141</f>
        <v>4368</v>
      </c>
      <c r="BT121" s="287">
        <f>Site5!H141</f>
        <v>4452</v>
      </c>
      <c r="BU121" s="287">
        <f>Site5!I141</f>
        <v>4536</v>
      </c>
      <c r="BV121" s="287">
        <f>Site5!J141</f>
        <v>4620</v>
      </c>
      <c r="BW121" s="287">
        <f>Site5!K141</f>
        <v>4704</v>
      </c>
      <c r="BX121" s="287">
        <f>Site5!L141</f>
        <v>4788</v>
      </c>
      <c r="BY121" s="287">
        <f>Site5!M141</f>
        <v>4872</v>
      </c>
      <c r="BZ121" s="287">
        <f>Site5!N141</f>
        <v>4956</v>
      </c>
      <c r="CA121" s="287">
        <f>Site5!O141</f>
        <v>5040</v>
      </c>
      <c r="CB121" s="287">
        <f>Site5!P141</f>
        <v>5124</v>
      </c>
      <c r="CD121" s="287">
        <f>Site6!E141</f>
        <v>0</v>
      </c>
      <c r="CE121" s="287">
        <f>Site6!F141</f>
        <v>0</v>
      </c>
      <c r="CF121" s="287">
        <f>Site6!G141</f>
        <v>1872</v>
      </c>
      <c r="CG121" s="287">
        <f>Site6!H141</f>
        <v>1908</v>
      </c>
      <c r="CH121" s="287">
        <f>Site6!I141</f>
        <v>1944</v>
      </c>
      <c r="CI121" s="287">
        <f>Site6!J141</f>
        <v>1980</v>
      </c>
      <c r="CJ121" s="287">
        <f>Site6!K141</f>
        <v>2016</v>
      </c>
      <c r="CK121" s="287">
        <f>Site6!L141</f>
        <v>2052</v>
      </c>
      <c r="CL121" s="287">
        <f>Site6!M141</f>
        <v>2088</v>
      </c>
      <c r="CM121" s="287">
        <f>Site6!N141</f>
        <v>2124</v>
      </c>
      <c r="CN121" s="287">
        <f>Site6!O141</f>
        <v>2160</v>
      </c>
      <c r="CO121" s="287">
        <f>Site6!P141</f>
        <v>2196</v>
      </c>
    </row>
    <row r="122" spans="1:107" hidden="1" outlineLevel="1" x14ac:dyDescent="0.25">
      <c r="A122" s="100">
        <v>6641</v>
      </c>
      <c r="B122" s="18" t="s">
        <v>53</v>
      </c>
      <c r="D122" s="154">
        <f t="shared" si="22"/>
        <v>37500</v>
      </c>
      <c r="E122" s="154">
        <f t="shared" si="23"/>
        <v>43605</v>
      </c>
      <c r="F122" s="154">
        <f t="shared" si="24"/>
        <v>52000</v>
      </c>
      <c r="G122" s="154">
        <f t="shared" si="25"/>
        <v>56710</v>
      </c>
      <c r="H122" s="154">
        <f t="shared" si="26"/>
        <v>60480</v>
      </c>
      <c r="I122" s="154">
        <f t="shared" si="27"/>
        <v>63800</v>
      </c>
      <c r="J122" s="154">
        <f t="shared" si="28"/>
        <v>67312</v>
      </c>
      <c r="K122" s="154">
        <f t="shared" si="29"/>
        <v>70908</v>
      </c>
      <c r="L122" s="154">
        <f t="shared" si="30"/>
        <v>74878</v>
      </c>
      <c r="M122" s="154">
        <f t="shared" si="31"/>
        <v>78942</v>
      </c>
      <c r="N122" s="154">
        <f t="shared" si="32"/>
        <v>83220</v>
      </c>
      <c r="O122" s="154">
        <f t="shared" si="33"/>
        <v>87718</v>
      </c>
      <c r="Q122" s="6">
        <f>Site1!E142</f>
        <v>15000</v>
      </c>
      <c r="R122" s="6">
        <f>Site1!F142</f>
        <v>15606</v>
      </c>
      <c r="S122" s="6">
        <f>Site1!G142</f>
        <v>16224</v>
      </c>
      <c r="T122" s="6">
        <f>Site1!H142</f>
        <v>16854</v>
      </c>
      <c r="U122" s="6">
        <f>Site1!I142</f>
        <v>17496</v>
      </c>
      <c r="V122" s="6">
        <f>Site1!J142</f>
        <v>18150</v>
      </c>
      <c r="W122" s="6">
        <f>Site1!K142</f>
        <v>18872</v>
      </c>
      <c r="X122" s="6">
        <f>Site1!L142</f>
        <v>19608</v>
      </c>
      <c r="Y122" s="6">
        <f>Site1!M142</f>
        <v>20358</v>
      </c>
      <c r="Z122" s="6">
        <f>Site1!N142</f>
        <v>21122</v>
      </c>
      <c r="AA122" s="6">
        <f>Site1!O142</f>
        <v>21900</v>
      </c>
      <c r="AB122" s="6">
        <f>Site1!P142</f>
        <v>22692</v>
      </c>
      <c r="AC122" s="37"/>
      <c r="AD122" s="6">
        <f>Site2!E142</f>
        <v>10000</v>
      </c>
      <c r="AE122" s="6">
        <f>Site2!F142</f>
        <v>10404</v>
      </c>
      <c r="AF122" s="6">
        <f>Site2!G142</f>
        <v>10816</v>
      </c>
      <c r="AG122" s="6">
        <f>Site2!H142</f>
        <v>11236</v>
      </c>
      <c r="AH122" s="6">
        <f>Site2!I142</f>
        <v>11664</v>
      </c>
      <c r="AI122" s="6">
        <f>Site2!J142</f>
        <v>12100</v>
      </c>
      <c r="AJ122" s="6">
        <f>Site2!K142</f>
        <v>12544</v>
      </c>
      <c r="AK122" s="6">
        <f>Site2!L142</f>
        <v>12996</v>
      </c>
      <c r="AL122" s="6">
        <f>Site2!M142</f>
        <v>13514</v>
      </c>
      <c r="AM122" s="6">
        <f>Site2!N142</f>
        <v>14042</v>
      </c>
      <c r="AN122" s="6">
        <f>Site2!O142</f>
        <v>14580</v>
      </c>
      <c r="AO122" s="6">
        <f>Site2!P142</f>
        <v>15128</v>
      </c>
      <c r="AQ122" s="6">
        <f>Site3!E142</f>
        <v>4250</v>
      </c>
      <c r="AR122" s="6">
        <f>Site3!F142</f>
        <v>5610</v>
      </c>
      <c r="AS122" s="6">
        <f>Site3!G142</f>
        <v>6240</v>
      </c>
      <c r="AT122" s="6">
        <f>Site3!H142</f>
        <v>6678</v>
      </c>
      <c r="AU122" s="6">
        <f>Site3!I142</f>
        <v>7128</v>
      </c>
      <c r="AV122" s="6">
        <f>Site3!J142</f>
        <v>7645</v>
      </c>
      <c r="AW122" s="6">
        <f>Site3!K142</f>
        <v>8176</v>
      </c>
      <c r="AX122" s="6">
        <f>Site3!L142</f>
        <v>8721</v>
      </c>
      <c r="AY122" s="6">
        <f>Site3!M142</f>
        <v>9338</v>
      </c>
      <c r="AZ122" s="6">
        <f>Site3!N142</f>
        <v>9971</v>
      </c>
      <c r="BA122" s="6">
        <f>Site3!O142</f>
        <v>10620</v>
      </c>
      <c r="BB122" s="6">
        <f>Site3!P142</f>
        <v>11346</v>
      </c>
      <c r="BD122" s="6">
        <f>Site4!E142</f>
        <v>4500</v>
      </c>
      <c r="BE122" s="6">
        <f>Site4!F142</f>
        <v>6630</v>
      </c>
      <c r="BF122" s="6">
        <f>Site4!G142</f>
        <v>7800</v>
      </c>
      <c r="BG122" s="6">
        <f>Site4!H142</f>
        <v>8374</v>
      </c>
      <c r="BH122" s="6">
        <f>Site4!I142</f>
        <v>8964</v>
      </c>
      <c r="BI122" s="6">
        <f>Site4!J142</f>
        <v>9570</v>
      </c>
      <c r="BJ122" s="6">
        <f>Site4!K142</f>
        <v>10248</v>
      </c>
      <c r="BK122" s="6">
        <f>Site4!L142</f>
        <v>10944</v>
      </c>
      <c r="BL122" s="6">
        <f>Site4!M142</f>
        <v>11716</v>
      </c>
      <c r="BM122" s="6">
        <f>Site4!N142</f>
        <v>12508</v>
      </c>
      <c r="BN122" s="6">
        <f>Site4!O142</f>
        <v>13380</v>
      </c>
      <c r="BO122" s="6">
        <f>Site4!P142</f>
        <v>14274</v>
      </c>
      <c r="BQ122" s="6">
        <f>Site5!E142</f>
        <v>3750</v>
      </c>
      <c r="BR122" s="6">
        <f>Site5!F142</f>
        <v>5355</v>
      </c>
      <c r="BS122" s="6">
        <f>Site5!G142</f>
        <v>6240</v>
      </c>
      <c r="BT122" s="6">
        <f>Site5!H142</f>
        <v>6678</v>
      </c>
      <c r="BU122" s="6">
        <f>Site5!I142</f>
        <v>7128</v>
      </c>
      <c r="BV122" s="6">
        <f>Site5!J142</f>
        <v>7645</v>
      </c>
      <c r="BW122" s="6">
        <f>Site5!K142</f>
        <v>8176</v>
      </c>
      <c r="BX122" s="6">
        <f>Site5!L142</f>
        <v>8721</v>
      </c>
      <c r="BY122" s="6">
        <f>Site5!M142</f>
        <v>9338</v>
      </c>
      <c r="BZ122" s="6">
        <f>Site5!N142</f>
        <v>9971</v>
      </c>
      <c r="CA122" s="6">
        <f>Site5!O142</f>
        <v>10620</v>
      </c>
      <c r="CB122" s="6">
        <f>Site5!P142</f>
        <v>11346</v>
      </c>
      <c r="CD122" s="6">
        <f>Site6!E142</f>
        <v>0</v>
      </c>
      <c r="CE122" s="6">
        <f>Site6!F142</f>
        <v>0</v>
      </c>
      <c r="CF122" s="6">
        <f>Site6!G142</f>
        <v>4680</v>
      </c>
      <c r="CG122" s="6">
        <f>Site6!H142</f>
        <v>6890</v>
      </c>
      <c r="CH122" s="6">
        <f>Site6!I142</f>
        <v>8100</v>
      </c>
      <c r="CI122" s="6">
        <f>Site6!J142</f>
        <v>8690</v>
      </c>
      <c r="CJ122" s="6">
        <f>Site6!K142</f>
        <v>9296</v>
      </c>
      <c r="CK122" s="6">
        <f>Site6!L142</f>
        <v>9918</v>
      </c>
      <c r="CL122" s="6">
        <f>Site6!M142</f>
        <v>10614</v>
      </c>
      <c r="CM122" s="6">
        <f>Site6!N142</f>
        <v>11328</v>
      </c>
      <c r="CN122" s="6">
        <f>Site6!O142</f>
        <v>12120</v>
      </c>
      <c r="CO122" s="6">
        <f>Site6!P142</f>
        <v>12932</v>
      </c>
    </row>
    <row r="123" spans="1:107" hidden="1" outlineLevel="1" x14ac:dyDescent="0.25">
      <c r="A123" s="100">
        <v>6641</v>
      </c>
      <c r="B123" s="18" t="s">
        <v>563</v>
      </c>
      <c r="D123" s="154">
        <f t="shared" si="22"/>
        <v>22500</v>
      </c>
      <c r="E123" s="154">
        <f t="shared" si="23"/>
        <v>26163</v>
      </c>
      <c r="F123" s="154">
        <f t="shared" si="24"/>
        <v>31200</v>
      </c>
      <c r="G123" s="154">
        <f t="shared" si="25"/>
        <v>34026</v>
      </c>
      <c r="H123" s="154">
        <f t="shared" si="26"/>
        <v>36288</v>
      </c>
      <c r="I123" s="154">
        <f t="shared" si="27"/>
        <v>38280</v>
      </c>
      <c r="J123" s="154">
        <f t="shared" si="28"/>
        <v>40388</v>
      </c>
      <c r="K123" s="154">
        <f t="shared" si="29"/>
        <v>42546</v>
      </c>
      <c r="L123" s="154">
        <f t="shared" si="30"/>
        <v>44927</v>
      </c>
      <c r="M123" s="154">
        <f t="shared" si="31"/>
        <v>47366</v>
      </c>
      <c r="N123" s="154">
        <f t="shared" si="32"/>
        <v>49932</v>
      </c>
      <c r="O123" s="154">
        <f t="shared" si="33"/>
        <v>52631</v>
      </c>
      <c r="Q123" s="6">
        <f>Site1!E143</f>
        <v>9000</v>
      </c>
      <c r="R123" s="6">
        <f>Site1!F143</f>
        <v>9364</v>
      </c>
      <c r="S123" s="6">
        <f>Site1!G143</f>
        <v>9734</v>
      </c>
      <c r="T123" s="6">
        <f>Site1!H143</f>
        <v>10112</v>
      </c>
      <c r="U123" s="6">
        <f>Site1!I143</f>
        <v>10498</v>
      </c>
      <c r="V123" s="6">
        <f>Site1!J143</f>
        <v>10890</v>
      </c>
      <c r="W123" s="6">
        <f>Site1!K143</f>
        <v>11323</v>
      </c>
      <c r="X123" s="6">
        <f>Site1!L143</f>
        <v>11765</v>
      </c>
      <c r="Y123" s="6">
        <f>Site1!M143</f>
        <v>12215</v>
      </c>
      <c r="Z123" s="6">
        <f>Site1!N143</f>
        <v>12673</v>
      </c>
      <c r="AA123" s="6">
        <f>Site1!O143</f>
        <v>13140</v>
      </c>
      <c r="AB123" s="6">
        <f>Site1!P143</f>
        <v>13615</v>
      </c>
      <c r="AC123" s="37"/>
      <c r="AD123" s="6">
        <f>Site2!E143</f>
        <v>6000</v>
      </c>
      <c r="AE123" s="6">
        <f>Site2!F143</f>
        <v>6242</v>
      </c>
      <c r="AF123" s="6">
        <f>Site2!G143</f>
        <v>6490</v>
      </c>
      <c r="AG123" s="6">
        <f>Site2!H143</f>
        <v>6742</v>
      </c>
      <c r="AH123" s="6">
        <f>Site2!I143</f>
        <v>6998</v>
      </c>
      <c r="AI123" s="6">
        <f>Site2!J143</f>
        <v>7260</v>
      </c>
      <c r="AJ123" s="6">
        <f>Site2!K143</f>
        <v>7526</v>
      </c>
      <c r="AK123" s="6">
        <f>Site2!L143</f>
        <v>7798</v>
      </c>
      <c r="AL123" s="6">
        <f>Site2!M143</f>
        <v>8108</v>
      </c>
      <c r="AM123" s="6">
        <f>Site2!N143</f>
        <v>8425</v>
      </c>
      <c r="AN123" s="6">
        <f>Site2!O143</f>
        <v>8748</v>
      </c>
      <c r="AO123" s="6">
        <f>Site2!P143</f>
        <v>9077</v>
      </c>
      <c r="AQ123" s="6">
        <f>Site3!E143</f>
        <v>2550</v>
      </c>
      <c r="AR123" s="6">
        <f>Site3!F143</f>
        <v>3366</v>
      </c>
      <c r="AS123" s="6">
        <f>Site3!G143</f>
        <v>3744</v>
      </c>
      <c r="AT123" s="6">
        <f>Site3!H143</f>
        <v>4007</v>
      </c>
      <c r="AU123" s="6">
        <f>Site3!I143</f>
        <v>4277</v>
      </c>
      <c r="AV123" s="6">
        <f>Site3!J143</f>
        <v>4587</v>
      </c>
      <c r="AW123" s="6">
        <f>Site3!K143</f>
        <v>4906</v>
      </c>
      <c r="AX123" s="6">
        <f>Site3!L143</f>
        <v>5233</v>
      </c>
      <c r="AY123" s="6">
        <f>Site3!M143</f>
        <v>5603</v>
      </c>
      <c r="AZ123" s="6">
        <f>Site3!N143</f>
        <v>5983</v>
      </c>
      <c r="BA123" s="6">
        <f>Site3!O143</f>
        <v>6372</v>
      </c>
      <c r="BB123" s="6">
        <f>Site3!P143</f>
        <v>6808</v>
      </c>
      <c r="BD123" s="6">
        <f>Site4!E143</f>
        <v>2700</v>
      </c>
      <c r="BE123" s="6">
        <f>Site4!F143</f>
        <v>3978</v>
      </c>
      <c r="BF123" s="6">
        <f>Site4!G143</f>
        <v>4680</v>
      </c>
      <c r="BG123" s="6">
        <f>Site4!H143</f>
        <v>5024</v>
      </c>
      <c r="BH123" s="6">
        <f>Site4!I143</f>
        <v>5378</v>
      </c>
      <c r="BI123" s="6">
        <f>Site4!J143</f>
        <v>5742</v>
      </c>
      <c r="BJ123" s="6">
        <f>Site4!K143</f>
        <v>6149</v>
      </c>
      <c r="BK123" s="6">
        <f>Site4!L143</f>
        <v>6566</v>
      </c>
      <c r="BL123" s="6">
        <f>Site4!M143</f>
        <v>7030</v>
      </c>
      <c r="BM123" s="6">
        <f>Site4!N143</f>
        <v>7505</v>
      </c>
      <c r="BN123" s="6">
        <f>Site4!O143</f>
        <v>8028</v>
      </c>
      <c r="BO123" s="6">
        <f>Site4!P143</f>
        <v>8564</v>
      </c>
      <c r="BQ123" s="6">
        <f>Site5!E143</f>
        <v>2250</v>
      </c>
      <c r="BR123" s="6">
        <f>Site5!F143</f>
        <v>3213</v>
      </c>
      <c r="BS123" s="6">
        <f>Site5!G143</f>
        <v>3744</v>
      </c>
      <c r="BT123" s="6">
        <f>Site5!H143</f>
        <v>4007</v>
      </c>
      <c r="BU123" s="6">
        <f>Site5!I143</f>
        <v>4277</v>
      </c>
      <c r="BV123" s="6">
        <f>Site5!J143</f>
        <v>4587</v>
      </c>
      <c r="BW123" s="6">
        <f>Site5!K143</f>
        <v>4906</v>
      </c>
      <c r="BX123" s="6">
        <f>Site5!L143</f>
        <v>5233</v>
      </c>
      <c r="BY123" s="6">
        <f>Site5!M143</f>
        <v>5603</v>
      </c>
      <c r="BZ123" s="6">
        <f>Site5!N143</f>
        <v>5983</v>
      </c>
      <c r="CA123" s="6">
        <f>Site5!O143</f>
        <v>6372</v>
      </c>
      <c r="CB123" s="6">
        <f>Site5!P143</f>
        <v>6808</v>
      </c>
      <c r="CD123" s="6">
        <f>Site6!E143</f>
        <v>0</v>
      </c>
      <c r="CE123" s="6">
        <f>Site6!F143</f>
        <v>0</v>
      </c>
      <c r="CF123" s="6">
        <f>Site6!G143</f>
        <v>2808</v>
      </c>
      <c r="CG123" s="6">
        <f>Site6!H143</f>
        <v>4134</v>
      </c>
      <c r="CH123" s="6">
        <f>Site6!I143</f>
        <v>4860</v>
      </c>
      <c r="CI123" s="6">
        <f>Site6!J143</f>
        <v>5214</v>
      </c>
      <c r="CJ123" s="6">
        <f>Site6!K143</f>
        <v>5578</v>
      </c>
      <c r="CK123" s="6">
        <f>Site6!L143</f>
        <v>5951</v>
      </c>
      <c r="CL123" s="6">
        <f>Site6!M143</f>
        <v>6368</v>
      </c>
      <c r="CM123" s="6">
        <f>Site6!N143</f>
        <v>6797</v>
      </c>
      <c r="CN123" s="6">
        <f>Site6!O143</f>
        <v>7272</v>
      </c>
      <c r="CO123" s="6">
        <f>Site6!P143</f>
        <v>7759</v>
      </c>
    </row>
    <row r="124" spans="1:107" hidden="1" outlineLevel="1" x14ac:dyDescent="0.25">
      <c r="A124" s="100">
        <v>6641</v>
      </c>
      <c r="B124" s="18" t="s">
        <v>564</v>
      </c>
      <c r="D124" s="154">
        <f t="shared" si="22"/>
        <v>30000</v>
      </c>
      <c r="E124" s="154">
        <f t="shared" si="23"/>
        <v>34884</v>
      </c>
      <c r="F124" s="154">
        <f t="shared" si="24"/>
        <v>41600</v>
      </c>
      <c r="G124" s="154">
        <f t="shared" si="25"/>
        <v>45367</v>
      </c>
      <c r="H124" s="154">
        <f t="shared" si="26"/>
        <v>48383</v>
      </c>
      <c r="I124" s="154">
        <f t="shared" si="27"/>
        <v>51040</v>
      </c>
      <c r="J124" s="154">
        <f t="shared" si="28"/>
        <v>53850</v>
      </c>
      <c r="K124" s="154">
        <f t="shared" si="29"/>
        <v>56726</v>
      </c>
      <c r="L124" s="154">
        <f t="shared" si="30"/>
        <v>59901</v>
      </c>
      <c r="M124" s="154">
        <f t="shared" si="31"/>
        <v>63154</v>
      </c>
      <c r="N124" s="154">
        <f t="shared" si="32"/>
        <v>66576</v>
      </c>
      <c r="O124" s="154">
        <f t="shared" si="33"/>
        <v>70175</v>
      </c>
      <c r="Q124" s="6">
        <f>Site1!E144</f>
        <v>12000</v>
      </c>
      <c r="R124" s="6">
        <f>Site1!F144</f>
        <v>12485</v>
      </c>
      <c r="S124" s="6">
        <f>Site1!G144</f>
        <v>12979</v>
      </c>
      <c r="T124" s="6">
        <f>Site1!H144</f>
        <v>13483</v>
      </c>
      <c r="U124" s="6">
        <f>Site1!I144</f>
        <v>13997</v>
      </c>
      <c r="V124" s="6">
        <f>Site1!J144</f>
        <v>14520</v>
      </c>
      <c r="W124" s="6">
        <f>Site1!K144</f>
        <v>15098</v>
      </c>
      <c r="X124" s="6">
        <f>Site1!L144</f>
        <v>15686</v>
      </c>
      <c r="Y124" s="6">
        <f>Site1!M144</f>
        <v>16286</v>
      </c>
      <c r="Z124" s="6">
        <f>Site1!N144</f>
        <v>16898</v>
      </c>
      <c r="AA124" s="6">
        <f>Site1!O144</f>
        <v>17520</v>
      </c>
      <c r="AB124" s="6">
        <f>Site1!P144</f>
        <v>18154</v>
      </c>
      <c r="AC124" s="37"/>
      <c r="AD124" s="6">
        <f>Site2!E144</f>
        <v>8000</v>
      </c>
      <c r="AE124" s="6">
        <f>Site2!F144</f>
        <v>8323</v>
      </c>
      <c r="AF124" s="6">
        <f>Site2!G144</f>
        <v>8653</v>
      </c>
      <c r="AG124" s="6">
        <f>Site2!H144</f>
        <v>8989</v>
      </c>
      <c r="AH124" s="6">
        <f>Site2!I144</f>
        <v>9331</v>
      </c>
      <c r="AI124" s="6">
        <f>Site2!J144</f>
        <v>9680</v>
      </c>
      <c r="AJ124" s="6">
        <f>Site2!K144</f>
        <v>10035</v>
      </c>
      <c r="AK124" s="6">
        <f>Site2!L144</f>
        <v>10397</v>
      </c>
      <c r="AL124" s="6">
        <f>Site2!M144</f>
        <v>10811</v>
      </c>
      <c r="AM124" s="6">
        <f>Site2!N144</f>
        <v>11234</v>
      </c>
      <c r="AN124" s="6">
        <f>Site2!O144</f>
        <v>11664</v>
      </c>
      <c r="AO124" s="6">
        <f>Site2!P144</f>
        <v>12102</v>
      </c>
      <c r="AQ124" s="6">
        <f>Site3!E144</f>
        <v>3400</v>
      </c>
      <c r="AR124" s="6">
        <f>Site3!F144</f>
        <v>4488</v>
      </c>
      <c r="AS124" s="6">
        <f>Site3!G144</f>
        <v>4992</v>
      </c>
      <c r="AT124" s="6">
        <f>Site3!H144</f>
        <v>5342</v>
      </c>
      <c r="AU124" s="6">
        <f>Site3!I144</f>
        <v>5702</v>
      </c>
      <c r="AV124" s="6">
        <f>Site3!J144</f>
        <v>6116</v>
      </c>
      <c r="AW124" s="6">
        <f>Site3!K144</f>
        <v>6541</v>
      </c>
      <c r="AX124" s="6">
        <f>Site3!L144</f>
        <v>6977</v>
      </c>
      <c r="AY124" s="6">
        <f>Site3!M144</f>
        <v>7470</v>
      </c>
      <c r="AZ124" s="6">
        <f>Site3!N144</f>
        <v>7977</v>
      </c>
      <c r="BA124" s="6">
        <f>Site3!O144</f>
        <v>8496</v>
      </c>
      <c r="BB124" s="6">
        <f>Site3!P144</f>
        <v>9077</v>
      </c>
      <c r="BD124" s="6">
        <f>Site4!E144</f>
        <v>3600</v>
      </c>
      <c r="BE124" s="6">
        <f>Site4!F144</f>
        <v>5304</v>
      </c>
      <c r="BF124" s="6">
        <f>Site4!G144</f>
        <v>6240</v>
      </c>
      <c r="BG124" s="6">
        <f>Site4!H144</f>
        <v>6699</v>
      </c>
      <c r="BH124" s="6">
        <f>Site4!I144</f>
        <v>7171</v>
      </c>
      <c r="BI124" s="6">
        <f>Site4!J144</f>
        <v>7656</v>
      </c>
      <c r="BJ124" s="6">
        <f>Site4!K144</f>
        <v>8198</v>
      </c>
      <c r="BK124" s="6">
        <f>Site4!L144</f>
        <v>8755</v>
      </c>
      <c r="BL124" s="6">
        <f>Site4!M144</f>
        <v>9373</v>
      </c>
      <c r="BM124" s="6">
        <f>Site4!N144</f>
        <v>10006</v>
      </c>
      <c r="BN124" s="6">
        <f>Site4!O144</f>
        <v>10704</v>
      </c>
      <c r="BO124" s="6">
        <f>Site4!P144</f>
        <v>11419</v>
      </c>
      <c r="BQ124" s="6">
        <f>Site5!E144</f>
        <v>3000</v>
      </c>
      <c r="BR124" s="6">
        <f>Site5!F144</f>
        <v>4284</v>
      </c>
      <c r="BS124" s="6">
        <f>Site5!G144</f>
        <v>4992</v>
      </c>
      <c r="BT124" s="6">
        <f>Site5!H144</f>
        <v>5342</v>
      </c>
      <c r="BU124" s="6">
        <f>Site5!I144</f>
        <v>5702</v>
      </c>
      <c r="BV124" s="6">
        <f>Site5!J144</f>
        <v>6116</v>
      </c>
      <c r="BW124" s="6">
        <f>Site5!K144</f>
        <v>6541</v>
      </c>
      <c r="BX124" s="6">
        <f>Site5!L144</f>
        <v>6977</v>
      </c>
      <c r="BY124" s="6">
        <f>Site5!M144</f>
        <v>7470</v>
      </c>
      <c r="BZ124" s="6">
        <f>Site5!N144</f>
        <v>7977</v>
      </c>
      <c r="CA124" s="6">
        <f>Site5!O144</f>
        <v>8496</v>
      </c>
      <c r="CB124" s="6">
        <f>Site5!P144</f>
        <v>9077</v>
      </c>
      <c r="CD124" s="6">
        <f>Site6!E144</f>
        <v>0</v>
      </c>
      <c r="CE124" s="6">
        <f>Site6!F144</f>
        <v>0</v>
      </c>
      <c r="CF124" s="6">
        <f>Site6!G144</f>
        <v>3744</v>
      </c>
      <c r="CG124" s="6">
        <f>Site6!H144</f>
        <v>5512</v>
      </c>
      <c r="CH124" s="6">
        <f>Site6!I144</f>
        <v>6480</v>
      </c>
      <c r="CI124" s="6">
        <f>Site6!J144</f>
        <v>6952</v>
      </c>
      <c r="CJ124" s="6">
        <f>Site6!K144</f>
        <v>7437</v>
      </c>
      <c r="CK124" s="6">
        <f>Site6!L144</f>
        <v>7934</v>
      </c>
      <c r="CL124" s="6">
        <f>Site6!M144</f>
        <v>8491</v>
      </c>
      <c r="CM124" s="6">
        <f>Site6!N144</f>
        <v>9062</v>
      </c>
      <c r="CN124" s="6">
        <f>Site6!O144</f>
        <v>9696</v>
      </c>
      <c r="CO124" s="6">
        <f>Site6!P144</f>
        <v>10346</v>
      </c>
    </row>
    <row r="125" spans="1:107" s="30" customFormat="1" collapsed="1" x14ac:dyDescent="0.25">
      <c r="A125" s="101">
        <v>641</v>
      </c>
      <c r="B125" s="274" t="s">
        <v>467</v>
      </c>
      <c r="D125" s="260">
        <f t="shared" si="22"/>
        <v>90000</v>
      </c>
      <c r="E125" s="260">
        <f t="shared" si="23"/>
        <v>104652</v>
      </c>
      <c r="F125" s="260">
        <f t="shared" si="24"/>
        <v>124800</v>
      </c>
      <c r="G125" s="260">
        <f t="shared" si="25"/>
        <v>136103</v>
      </c>
      <c r="H125" s="260">
        <f t="shared" si="26"/>
        <v>145151</v>
      </c>
      <c r="I125" s="260">
        <f t="shared" si="27"/>
        <v>153120</v>
      </c>
      <c r="J125" s="260">
        <f t="shared" si="28"/>
        <v>161550</v>
      </c>
      <c r="K125" s="260">
        <f t="shared" si="29"/>
        <v>170180</v>
      </c>
      <c r="L125" s="260">
        <f t="shared" si="30"/>
        <v>179706</v>
      </c>
      <c r="M125" s="260">
        <f t="shared" si="31"/>
        <v>189462</v>
      </c>
      <c r="N125" s="260">
        <f t="shared" si="32"/>
        <v>199728</v>
      </c>
      <c r="O125" s="260">
        <f t="shared" si="33"/>
        <v>210524</v>
      </c>
      <c r="Q125" s="261">
        <f>Site1!E145</f>
        <v>36000</v>
      </c>
      <c r="R125" s="261">
        <f>Site1!F145</f>
        <v>37455</v>
      </c>
      <c r="S125" s="261">
        <f>Site1!G145</f>
        <v>38937</v>
      </c>
      <c r="T125" s="261">
        <f>Site1!H145</f>
        <v>40449</v>
      </c>
      <c r="U125" s="261">
        <f>Site1!I145</f>
        <v>41991</v>
      </c>
      <c r="V125" s="261">
        <f>Site1!J145</f>
        <v>43560</v>
      </c>
      <c r="W125" s="261">
        <f>Site1!K145</f>
        <v>45293</v>
      </c>
      <c r="X125" s="261">
        <f>Site1!L145</f>
        <v>47059</v>
      </c>
      <c r="Y125" s="261">
        <f>Site1!M145</f>
        <v>48859</v>
      </c>
      <c r="Z125" s="261">
        <f>Site1!N145</f>
        <v>50693</v>
      </c>
      <c r="AA125" s="261">
        <f>Site1!O145</f>
        <v>52560</v>
      </c>
      <c r="AB125" s="261">
        <f>Site1!P145</f>
        <v>54461</v>
      </c>
      <c r="AC125" s="71"/>
      <c r="AD125" s="261">
        <f>Site2!E145</f>
        <v>24000</v>
      </c>
      <c r="AE125" s="261">
        <f>Site2!F145</f>
        <v>24969</v>
      </c>
      <c r="AF125" s="261">
        <f>Site2!G145</f>
        <v>25959</v>
      </c>
      <c r="AG125" s="261">
        <f>Site2!H145</f>
        <v>26967</v>
      </c>
      <c r="AH125" s="261">
        <f>Site2!I145</f>
        <v>27993</v>
      </c>
      <c r="AI125" s="261">
        <f>Site2!J145</f>
        <v>29040</v>
      </c>
      <c r="AJ125" s="261">
        <f>Site2!K145</f>
        <v>30105</v>
      </c>
      <c r="AK125" s="261">
        <f>Site2!L145</f>
        <v>31191</v>
      </c>
      <c r="AL125" s="261">
        <f>Site2!M145</f>
        <v>32433</v>
      </c>
      <c r="AM125" s="261">
        <f>Site2!N145</f>
        <v>33701</v>
      </c>
      <c r="AN125" s="261">
        <f>Site2!O145</f>
        <v>34992</v>
      </c>
      <c r="AO125" s="261">
        <f>Site2!P145</f>
        <v>36307</v>
      </c>
      <c r="AQ125" s="261">
        <f>Site3!E145</f>
        <v>10200</v>
      </c>
      <c r="AR125" s="261">
        <f>Site3!F145</f>
        <v>13464</v>
      </c>
      <c r="AS125" s="261">
        <f>Site3!G145</f>
        <v>14976</v>
      </c>
      <c r="AT125" s="261">
        <f>Site3!H145</f>
        <v>16027</v>
      </c>
      <c r="AU125" s="261">
        <f>Site3!I145</f>
        <v>17107</v>
      </c>
      <c r="AV125" s="261">
        <f>Site3!J145</f>
        <v>18348</v>
      </c>
      <c r="AW125" s="261">
        <f>Site3!K145</f>
        <v>19623</v>
      </c>
      <c r="AX125" s="261">
        <f>Site3!L145</f>
        <v>20931</v>
      </c>
      <c r="AY125" s="261">
        <f>Site3!M145</f>
        <v>22411</v>
      </c>
      <c r="AZ125" s="261">
        <f>Site3!N145</f>
        <v>23931</v>
      </c>
      <c r="BA125" s="261">
        <f>Site3!O145</f>
        <v>25488</v>
      </c>
      <c r="BB125" s="261">
        <f>Site3!P145</f>
        <v>27231</v>
      </c>
      <c r="BD125" s="261">
        <f>Site4!E145</f>
        <v>10800</v>
      </c>
      <c r="BE125" s="261">
        <f>Site4!F145</f>
        <v>15912</v>
      </c>
      <c r="BF125" s="261">
        <f>Site4!G145</f>
        <v>18720</v>
      </c>
      <c r="BG125" s="261">
        <f>Site4!H145</f>
        <v>20097</v>
      </c>
      <c r="BH125" s="261">
        <f>Site4!I145</f>
        <v>21513</v>
      </c>
      <c r="BI125" s="261">
        <f>Site4!J145</f>
        <v>22968</v>
      </c>
      <c r="BJ125" s="261">
        <f>Site4!K145</f>
        <v>24595</v>
      </c>
      <c r="BK125" s="261">
        <f>Site4!L145</f>
        <v>26265</v>
      </c>
      <c r="BL125" s="261">
        <f>Site4!M145</f>
        <v>28119</v>
      </c>
      <c r="BM125" s="261">
        <f>Site4!N145</f>
        <v>30019</v>
      </c>
      <c r="BN125" s="261">
        <f>Site4!O145</f>
        <v>32112</v>
      </c>
      <c r="BO125" s="261">
        <f>Site4!P145</f>
        <v>34257</v>
      </c>
      <c r="BQ125" s="261">
        <f>Site5!E145</f>
        <v>9000</v>
      </c>
      <c r="BR125" s="261">
        <f>Site5!F145</f>
        <v>12852</v>
      </c>
      <c r="BS125" s="261">
        <f>Site5!G145</f>
        <v>14976</v>
      </c>
      <c r="BT125" s="261">
        <f>Site5!H145</f>
        <v>16027</v>
      </c>
      <c r="BU125" s="261">
        <f>Site5!I145</f>
        <v>17107</v>
      </c>
      <c r="BV125" s="261">
        <f>Site5!J145</f>
        <v>18348</v>
      </c>
      <c r="BW125" s="261">
        <f>Site5!K145</f>
        <v>19623</v>
      </c>
      <c r="BX125" s="261">
        <f>Site5!L145</f>
        <v>20931</v>
      </c>
      <c r="BY125" s="261">
        <f>Site5!M145</f>
        <v>22411</v>
      </c>
      <c r="BZ125" s="261">
        <f>Site5!N145</f>
        <v>23931</v>
      </c>
      <c r="CA125" s="261">
        <f>Site5!O145</f>
        <v>25488</v>
      </c>
      <c r="CB125" s="261">
        <f>Site5!P145</f>
        <v>27231</v>
      </c>
      <c r="CD125" s="261">
        <f>Site6!E145</f>
        <v>0</v>
      </c>
      <c r="CE125" s="261">
        <f>Site6!F145</f>
        <v>0</v>
      </c>
      <c r="CF125" s="261">
        <f>Site6!G145</f>
        <v>11232</v>
      </c>
      <c r="CG125" s="261">
        <f>Site6!H145</f>
        <v>16536</v>
      </c>
      <c r="CH125" s="261">
        <f>Site6!I145</f>
        <v>19440</v>
      </c>
      <c r="CI125" s="261">
        <f>Site6!J145</f>
        <v>20856</v>
      </c>
      <c r="CJ125" s="261">
        <f>Site6!K145</f>
        <v>22311</v>
      </c>
      <c r="CK125" s="261">
        <f>Site6!L145</f>
        <v>23803</v>
      </c>
      <c r="CL125" s="261">
        <f>Site6!M145</f>
        <v>25473</v>
      </c>
      <c r="CM125" s="261">
        <f>Site6!N145</f>
        <v>27187</v>
      </c>
      <c r="CN125" s="261">
        <f>Site6!O145</f>
        <v>29088</v>
      </c>
      <c r="CO125" s="261">
        <f>Site6!P145</f>
        <v>31037</v>
      </c>
    </row>
    <row r="126" spans="1:107" hidden="1" outlineLevel="1" x14ac:dyDescent="0.25">
      <c r="A126" s="100">
        <v>6642</v>
      </c>
      <c r="B126" s="18" t="s">
        <v>567</v>
      </c>
      <c r="D126" s="154">
        <f t="shared" si="22"/>
        <v>75000</v>
      </c>
      <c r="E126" s="154">
        <f t="shared" si="23"/>
        <v>87210</v>
      </c>
      <c r="F126" s="154">
        <f t="shared" si="24"/>
        <v>104000</v>
      </c>
      <c r="G126" s="154">
        <f t="shared" si="25"/>
        <v>113420</v>
      </c>
      <c r="H126" s="154">
        <f t="shared" si="26"/>
        <v>120960</v>
      </c>
      <c r="I126" s="154">
        <f t="shared" si="27"/>
        <v>127600</v>
      </c>
      <c r="J126" s="154">
        <f t="shared" si="28"/>
        <v>134624</v>
      </c>
      <c r="K126" s="154">
        <f t="shared" si="29"/>
        <v>141816</v>
      </c>
      <c r="L126" s="154">
        <f t="shared" si="30"/>
        <v>149756</v>
      </c>
      <c r="M126" s="154">
        <f t="shared" si="31"/>
        <v>157884</v>
      </c>
      <c r="N126" s="154">
        <f t="shared" si="32"/>
        <v>166440</v>
      </c>
      <c r="O126" s="154">
        <f t="shared" si="33"/>
        <v>175436</v>
      </c>
      <c r="Q126" s="6">
        <f>Site1!E146</f>
        <v>30000</v>
      </c>
      <c r="R126" s="6">
        <f>Site1!F146</f>
        <v>31212</v>
      </c>
      <c r="S126" s="6">
        <f>Site1!G146</f>
        <v>32448</v>
      </c>
      <c r="T126" s="6">
        <f>Site1!H146</f>
        <v>33708</v>
      </c>
      <c r="U126" s="6">
        <f>Site1!I146</f>
        <v>34992</v>
      </c>
      <c r="V126" s="6">
        <f>Site1!J146</f>
        <v>36300</v>
      </c>
      <c r="W126" s="6">
        <f>Site1!K146</f>
        <v>37744</v>
      </c>
      <c r="X126" s="6">
        <f>Site1!L146</f>
        <v>39216</v>
      </c>
      <c r="Y126" s="6">
        <f>Site1!M146</f>
        <v>40716</v>
      </c>
      <c r="Z126" s="6">
        <f>Site1!N146</f>
        <v>42244</v>
      </c>
      <c r="AA126" s="6">
        <f>Site1!O146</f>
        <v>43800</v>
      </c>
      <c r="AB126" s="6">
        <f>Site1!P146</f>
        <v>45384</v>
      </c>
      <c r="AC126" s="37"/>
      <c r="AD126" s="6">
        <f>Site2!E146</f>
        <v>20000</v>
      </c>
      <c r="AE126" s="6">
        <f>Site2!F146</f>
        <v>20808</v>
      </c>
      <c r="AF126" s="6">
        <f>Site2!G146</f>
        <v>21632</v>
      </c>
      <c r="AG126" s="6">
        <f>Site2!H146</f>
        <v>22472</v>
      </c>
      <c r="AH126" s="6">
        <f>Site2!I146</f>
        <v>23328</v>
      </c>
      <c r="AI126" s="6">
        <f>Site2!J146</f>
        <v>24200</v>
      </c>
      <c r="AJ126" s="6">
        <f>Site2!K146</f>
        <v>25088</v>
      </c>
      <c r="AK126" s="6">
        <f>Site2!L146</f>
        <v>25992</v>
      </c>
      <c r="AL126" s="6">
        <f>Site2!M146</f>
        <v>27028</v>
      </c>
      <c r="AM126" s="6">
        <f>Site2!N146</f>
        <v>28084</v>
      </c>
      <c r="AN126" s="6">
        <f>Site2!O146</f>
        <v>29160</v>
      </c>
      <c r="AO126" s="6">
        <f>Site2!P146</f>
        <v>30256</v>
      </c>
      <c r="AQ126" s="6">
        <f>Site3!E146</f>
        <v>8500</v>
      </c>
      <c r="AR126" s="6">
        <f>Site3!F146</f>
        <v>11220</v>
      </c>
      <c r="AS126" s="6">
        <f>Site3!G146</f>
        <v>12480</v>
      </c>
      <c r="AT126" s="6">
        <f>Site3!H146</f>
        <v>13356</v>
      </c>
      <c r="AU126" s="6">
        <f>Site3!I146</f>
        <v>14256</v>
      </c>
      <c r="AV126" s="6">
        <f>Site3!J146</f>
        <v>15290</v>
      </c>
      <c r="AW126" s="6">
        <f>Site3!K146</f>
        <v>16352</v>
      </c>
      <c r="AX126" s="6">
        <f>Site3!L146</f>
        <v>17442</v>
      </c>
      <c r="AY126" s="6">
        <f>Site3!M146</f>
        <v>18676</v>
      </c>
      <c r="AZ126" s="6">
        <f>Site3!N146</f>
        <v>19942</v>
      </c>
      <c r="BA126" s="6">
        <f>Site3!O146</f>
        <v>21240</v>
      </c>
      <c r="BB126" s="6">
        <f>Site3!P146</f>
        <v>22692</v>
      </c>
      <c r="BD126" s="6">
        <f>Site4!E146</f>
        <v>9000</v>
      </c>
      <c r="BE126" s="6">
        <f>Site4!F146</f>
        <v>13260</v>
      </c>
      <c r="BF126" s="6">
        <f>Site4!G146</f>
        <v>15600</v>
      </c>
      <c r="BG126" s="6">
        <f>Site4!H146</f>
        <v>16748</v>
      </c>
      <c r="BH126" s="6">
        <f>Site4!I146</f>
        <v>17928</v>
      </c>
      <c r="BI126" s="6">
        <f>Site4!J146</f>
        <v>19140</v>
      </c>
      <c r="BJ126" s="6">
        <f>Site4!K146</f>
        <v>20496</v>
      </c>
      <c r="BK126" s="6">
        <f>Site4!L146</f>
        <v>21888</v>
      </c>
      <c r="BL126" s="6">
        <f>Site4!M146</f>
        <v>23432</v>
      </c>
      <c r="BM126" s="6">
        <f>Site4!N146</f>
        <v>25016</v>
      </c>
      <c r="BN126" s="6">
        <f>Site4!O146</f>
        <v>26760</v>
      </c>
      <c r="BO126" s="6">
        <f>Site4!P146</f>
        <v>28548</v>
      </c>
      <c r="BQ126" s="6">
        <f>Site5!E146</f>
        <v>7500</v>
      </c>
      <c r="BR126" s="6">
        <f>Site5!F146</f>
        <v>10710</v>
      </c>
      <c r="BS126" s="6">
        <f>Site5!G146</f>
        <v>12480</v>
      </c>
      <c r="BT126" s="6">
        <f>Site5!H146</f>
        <v>13356</v>
      </c>
      <c r="BU126" s="6">
        <f>Site5!I146</f>
        <v>14256</v>
      </c>
      <c r="BV126" s="6">
        <f>Site5!J146</f>
        <v>15290</v>
      </c>
      <c r="BW126" s="6">
        <f>Site5!K146</f>
        <v>16352</v>
      </c>
      <c r="BX126" s="6">
        <f>Site5!L146</f>
        <v>17442</v>
      </c>
      <c r="BY126" s="6">
        <f>Site5!M146</f>
        <v>18676</v>
      </c>
      <c r="BZ126" s="6">
        <f>Site5!N146</f>
        <v>19942</v>
      </c>
      <c r="CA126" s="6">
        <f>Site5!O146</f>
        <v>21240</v>
      </c>
      <c r="CB126" s="6">
        <f>Site5!P146</f>
        <v>22692</v>
      </c>
      <c r="CD126" s="6">
        <f>Site6!E146</f>
        <v>0</v>
      </c>
      <c r="CE126" s="6">
        <f>Site6!F146</f>
        <v>0</v>
      </c>
      <c r="CF126" s="6">
        <f>Site6!G146</f>
        <v>9360</v>
      </c>
      <c r="CG126" s="6">
        <f>Site6!H146</f>
        <v>13780</v>
      </c>
      <c r="CH126" s="6">
        <f>Site6!I146</f>
        <v>16200</v>
      </c>
      <c r="CI126" s="6">
        <f>Site6!J146</f>
        <v>17380</v>
      </c>
      <c r="CJ126" s="6">
        <f>Site6!K146</f>
        <v>18592</v>
      </c>
      <c r="CK126" s="6">
        <f>Site6!L146</f>
        <v>19836</v>
      </c>
      <c r="CL126" s="6">
        <f>Site6!M146</f>
        <v>21228</v>
      </c>
      <c r="CM126" s="6">
        <f>Site6!N146</f>
        <v>22656</v>
      </c>
      <c r="CN126" s="6">
        <f>Site6!O146</f>
        <v>24240</v>
      </c>
      <c r="CO126" s="6">
        <f>Site6!P146</f>
        <v>25864</v>
      </c>
    </row>
    <row r="127" spans="1:107" hidden="1" outlineLevel="1" x14ac:dyDescent="0.25">
      <c r="A127" s="100">
        <v>6642</v>
      </c>
      <c r="B127" s="18" t="s">
        <v>568</v>
      </c>
      <c r="D127" s="154">
        <f t="shared" si="22"/>
        <v>86250</v>
      </c>
      <c r="E127" s="154">
        <f t="shared" si="23"/>
        <v>100292</v>
      </c>
      <c r="F127" s="154">
        <f t="shared" si="24"/>
        <v>119600</v>
      </c>
      <c r="G127" s="154">
        <f t="shared" si="25"/>
        <v>130432</v>
      </c>
      <c r="H127" s="154">
        <f t="shared" si="26"/>
        <v>139103</v>
      </c>
      <c r="I127" s="154">
        <f t="shared" si="27"/>
        <v>146741</v>
      </c>
      <c r="J127" s="154">
        <f t="shared" si="28"/>
        <v>154818</v>
      </c>
      <c r="K127" s="154">
        <f t="shared" si="29"/>
        <v>163087</v>
      </c>
      <c r="L127" s="154">
        <f t="shared" si="30"/>
        <v>172218</v>
      </c>
      <c r="M127" s="154">
        <f t="shared" si="31"/>
        <v>181566</v>
      </c>
      <c r="N127" s="154">
        <f t="shared" si="32"/>
        <v>191406</v>
      </c>
      <c r="O127" s="154">
        <f t="shared" si="33"/>
        <v>201752</v>
      </c>
      <c r="Q127" s="6">
        <f>Site1!E147</f>
        <v>34500</v>
      </c>
      <c r="R127" s="6">
        <f>Site1!F147</f>
        <v>35894</v>
      </c>
      <c r="S127" s="6">
        <f>Site1!G147</f>
        <v>37315</v>
      </c>
      <c r="T127" s="6">
        <f>Site1!H147</f>
        <v>38764</v>
      </c>
      <c r="U127" s="6">
        <f>Site1!I147</f>
        <v>40241</v>
      </c>
      <c r="V127" s="6">
        <f>Site1!J147</f>
        <v>41745</v>
      </c>
      <c r="W127" s="6">
        <f>Site1!K147</f>
        <v>43406</v>
      </c>
      <c r="X127" s="6">
        <f>Site1!L147</f>
        <v>45098</v>
      </c>
      <c r="Y127" s="6">
        <f>Site1!M147</f>
        <v>46823</v>
      </c>
      <c r="Z127" s="6">
        <f>Site1!N147</f>
        <v>48581</v>
      </c>
      <c r="AA127" s="6">
        <f>Site1!O147</f>
        <v>50370</v>
      </c>
      <c r="AB127" s="6">
        <f>Site1!P147</f>
        <v>52192</v>
      </c>
      <c r="AC127" s="37"/>
      <c r="AD127" s="6">
        <f>Site2!E147</f>
        <v>23000</v>
      </c>
      <c r="AE127" s="6">
        <f>Site2!F147</f>
        <v>23929</v>
      </c>
      <c r="AF127" s="6">
        <f>Site2!G147</f>
        <v>24877</v>
      </c>
      <c r="AG127" s="6">
        <f>Site2!H147</f>
        <v>25843</v>
      </c>
      <c r="AH127" s="6">
        <f>Site2!I147</f>
        <v>26827</v>
      </c>
      <c r="AI127" s="6">
        <f>Site2!J147</f>
        <v>27830</v>
      </c>
      <c r="AJ127" s="6">
        <f>Site2!K147</f>
        <v>28851</v>
      </c>
      <c r="AK127" s="6">
        <f>Site2!L147</f>
        <v>29891</v>
      </c>
      <c r="AL127" s="6">
        <f>Site2!M147</f>
        <v>31082</v>
      </c>
      <c r="AM127" s="6">
        <f>Site2!N147</f>
        <v>32297</v>
      </c>
      <c r="AN127" s="6">
        <f>Site2!O147</f>
        <v>33534</v>
      </c>
      <c r="AO127" s="6">
        <f>Site2!P147</f>
        <v>34794</v>
      </c>
      <c r="AQ127" s="6">
        <f>Site3!E147</f>
        <v>9775</v>
      </c>
      <c r="AR127" s="6">
        <f>Site3!F147</f>
        <v>12903</v>
      </c>
      <c r="AS127" s="6">
        <f>Site3!G147</f>
        <v>14352</v>
      </c>
      <c r="AT127" s="6">
        <f>Site3!H147</f>
        <v>15359</v>
      </c>
      <c r="AU127" s="6">
        <f>Site3!I147</f>
        <v>16394</v>
      </c>
      <c r="AV127" s="6">
        <f>Site3!J147</f>
        <v>17584</v>
      </c>
      <c r="AW127" s="6">
        <f>Site3!K147</f>
        <v>18805</v>
      </c>
      <c r="AX127" s="6">
        <f>Site3!L147</f>
        <v>20058</v>
      </c>
      <c r="AY127" s="6">
        <f>Site3!M147</f>
        <v>21477</v>
      </c>
      <c r="AZ127" s="6">
        <f>Site3!N147</f>
        <v>22933</v>
      </c>
      <c r="BA127" s="6">
        <f>Site3!O147</f>
        <v>24426</v>
      </c>
      <c r="BB127" s="6">
        <f>Site3!P147</f>
        <v>26096</v>
      </c>
      <c r="BD127" s="6">
        <f>Site4!E147</f>
        <v>10350</v>
      </c>
      <c r="BE127" s="6">
        <f>Site4!F147</f>
        <v>15249</v>
      </c>
      <c r="BF127" s="6">
        <f>Site4!G147</f>
        <v>17940</v>
      </c>
      <c r="BG127" s="6">
        <f>Site4!H147</f>
        <v>19260</v>
      </c>
      <c r="BH127" s="6">
        <f>Site4!I147</f>
        <v>20617</v>
      </c>
      <c r="BI127" s="6">
        <f>Site4!J147</f>
        <v>22011</v>
      </c>
      <c r="BJ127" s="6">
        <f>Site4!K147</f>
        <v>23570</v>
      </c>
      <c r="BK127" s="6">
        <f>Site4!L147</f>
        <v>25171</v>
      </c>
      <c r="BL127" s="6">
        <f>Site4!M147</f>
        <v>26947</v>
      </c>
      <c r="BM127" s="6">
        <f>Site4!N147</f>
        <v>28768</v>
      </c>
      <c r="BN127" s="6">
        <f>Site4!O147</f>
        <v>30774</v>
      </c>
      <c r="BO127" s="6">
        <f>Site4!P147</f>
        <v>32830</v>
      </c>
      <c r="BQ127" s="6">
        <f>Site5!E147</f>
        <v>8625</v>
      </c>
      <c r="BR127" s="6">
        <f>Site5!F147</f>
        <v>12317</v>
      </c>
      <c r="BS127" s="6">
        <f>Site5!G147</f>
        <v>14352</v>
      </c>
      <c r="BT127" s="6">
        <f>Site5!H147</f>
        <v>15359</v>
      </c>
      <c r="BU127" s="6">
        <f>Site5!I147</f>
        <v>16394</v>
      </c>
      <c r="BV127" s="6">
        <f>Site5!J147</f>
        <v>17584</v>
      </c>
      <c r="BW127" s="6">
        <f>Site5!K147</f>
        <v>18805</v>
      </c>
      <c r="BX127" s="6">
        <f>Site5!L147</f>
        <v>20058</v>
      </c>
      <c r="BY127" s="6">
        <f>Site5!M147</f>
        <v>21477</v>
      </c>
      <c r="BZ127" s="6">
        <f>Site5!N147</f>
        <v>22933</v>
      </c>
      <c r="CA127" s="6">
        <f>Site5!O147</f>
        <v>24426</v>
      </c>
      <c r="CB127" s="6">
        <f>Site5!P147</f>
        <v>26096</v>
      </c>
      <c r="CD127" s="6">
        <f>Site6!E147</f>
        <v>0</v>
      </c>
      <c r="CE127" s="6">
        <f>Site6!F147</f>
        <v>0</v>
      </c>
      <c r="CF127" s="6">
        <f>Site6!G147</f>
        <v>10764</v>
      </c>
      <c r="CG127" s="6">
        <f>Site6!H147</f>
        <v>15847</v>
      </c>
      <c r="CH127" s="6">
        <f>Site6!I147</f>
        <v>18630</v>
      </c>
      <c r="CI127" s="6">
        <f>Site6!J147</f>
        <v>19987</v>
      </c>
      <c r="CJ127" s="6">
        <f>Site6!K147</f>
        <v>21381</v>
      </c>
      <c r="CK127" s="6">
        <f>Site6!L147</f>
        <v>22811</v>
      </c>
      <c r="CL127" s="6">
        <f>Site6!M147</f>
        <v>24412</v>
      </c>
      <c r="CM127" s="6">
        <f>Site6!N147</f>
        <v>26054</v>
      </c>
      <c r="CN127" s="6">
        <f>Site6!O147</f>
        <v>27876</v>
      </c>
      <c r="CO127" s="6">
        <f>Site6!P147</f>
        <v>29744</v>
      </c>
    </row>
    <row r="128" spans="1:107" s="269" customFormat="1" collapsed="1" x14ac:dyDescent="0.25">
      <c r="A128" s="101">
        <v>642</v>
      </c>
      <c r="B128" s="274" t="s">
        <v>468</v>
      </c>
      <c r="D128" s="260">
        <f t="shared" si="22"/>
        <v>161250</v>
      </c>
      <c r="E128" s="260">
        <f t="shared" si="23"/>
        <v>187502</v>
      </c>
      <c r="F128" s="260">
        <f t="shared" si="24"/>
        <v>223600</v>
      </c>
      <c r="G128" s="260">
        <f t="shared" si="25"/>
        <v>243852</v>
      </c>
      <c r="H128" s="260">
        <f t="shared" si="26"/>
        <v>260063</v>
      </c>
      <c r="I128" s="260">
        <f t="shared" si="27"/>
        <v>274341</v>
      </c>
      <c r="J128" s="260">
        <f t="shared" si="28"/>
        <v>289442</v>
      </c>
      <c r="K128" s="260">
        <f t="shared" si="29"/>
        <v>304903</v>
      </c>
      <c r="L128" s="260">
        <f t="shared" si="30"/>
        <v>321974</v>
      </c>
      <c r="M128" s="260">
        <f t="shared" si="31"/>
        <v>339450</v>
      </c>
      <c r="N128" s="260">
        <f t="shared" si="32"/>
        <v>357846</v>
      </c>
      <c r="O128" s="260">
        <f t="shared" si="33"/>
        <v>377188</v>
      </c>
      <c r="Q128" s="261">
        <f>Site1!E148</f>
        <v>64500</v>
      </c>
      <c r="R128" s="261">
        <f>Site1!F148</f>
        <v>67106</v>
      </c>
      <c r="S128" s="261">
        <f>Site1!G148</f>
        <v>69763</v>
      </c>
      <c r="T128" s="261">
        <f>Site1!H148</f>
        <v>72472</v>
      </c>
      <c r="U128" s="261">
        <f>Site1!I148</f>
        <v>75233</v>
      </c>
      <c r="V128" s="261">
        <f>Site1!J148</f>
        <v>78045</v>
      </c>
      <c r="W128" s="261">
        <f>Site1!K148</f>
        <v>81150</v>
      </c>
      <c r="X128" s="261">
        <f>Site1!L148</f>
        <v>84314</v>
      </c>
      <c r="Y128" s="261">
        <f>Site1!M148</f>
        <v>87539</v>
      </c>
      <c r="Z128" s="261">
        <f>Site1!N148</f>
        <v>90825</v>
      </c>
      <c r="AA128" s="261">
        <f>Site1!O148</f>
        <v>94170</v>
      </c>
      <c r="AB128" s="261">
        <f>Site1!P148</f>
        <v>97576</v>
      </c>
      <c r="AD128" s="261">
        <f>Site2!E148</f>
        <v>43000</v>
      </c>
      <c r="AE128" s="261">
        <f>Site2!F148</f>
        <v>44737</v>
      </c>
      <c r="AF128" s="261">
        <f>Site2!G148</f>
        <v>46509</v>
      </c>
      <c r="AG128" s="261">
        <f>Site2!H148</f>
        <v>48315</v>
      </c>
      <c r="AH128" s="261">
        <f>Site2!I148</f>
        <v>50155</v>
      </c>
      <c r="AI128" s="261">
        <f>Site2!J148</f>
        <v>52030</v>
      </c>
      <c r="AJ128" s="261">
        <f>Site2!K148</f>
        <v>53939</v>
      </c>
      <c r="AK128" s="261">
        <f>Site2!L148</f>
        <v>55883</v>
      </c>
      <c r="AL128" s="261">
        <f>Site2!M148</f>
        <v>58110</v>
      </c>
      <c r="AM128" s="261">
        <f>Site2!N148</f>
        <v>60381</v>
      </c>
      <c r="AN128" s="261">
        <f>Site2!O148</f>
        <v>62694</v>
      </c>
      <c r="AO128" s="261">
        <f>Site2!P148</f>
        <v>65050</v>
      </c>
      <c r="AQ128" s="261">
        <f>Site3!E148</f>
        <v>18275</v>
      </c>
      <c r="AR128" s="261">
        <f>Site3!F148</f>
        <v>24123</v>
      </c>
      <c r="AS128" s="261">
        <f>Site3!G148</f>
        <v>26832</v>
      </c>
      <c r="AT128" s="261">
        <f>Site3!H148</f>
        <v>28715</v>
      </c>
      <c r="AU128" s="261">
        <f>Site3!I148</f>
        <v>30650</v>
      </c>
      <c r="AV128" s="261">
        <f>Site3!J148</f>
        <v>32874</v>
      </c>
      <c r="AW128" s="261">
        <f>Site3!K148</f>
        <v>35157</v>
      </c>
      <c r="AX128" s="261">
        <f>Site3!L148</f>
        <v>37500</v>
      </c>
      <c r="AY128" s="261">
        <f>Site3!M148</f>
        <v>40153</v>
      </c>
      <c r="AZ128" s="261">
        <f>Site3!N148</f>
        <v>42875</v>
      </c>
      <c r="BA128" s="261">
        <f>Site3!O148</f>
        <v>45666</v>
      </c>
      <c r="BB128" s="261">
        <f>Site3!P148</f>
        <v>48788</v>
      </c>
      <c r="BD128" s="261">
        <f>Site4!E148</f>
        <v>19350</v>
      </c>
      <c r="BE128" s="261">
        <f>Site4!F148</f>
        <v>28509</v>
      </c>
      <c r="BF128" s="261">
        <f>Site4!G148</f>
        <v>33540</v>
      </c>
      <c r="BG128" s="261">
        <f>Site4!H148</f>
        <v>36008</v>
      </c>
      <c r="BH128" s="261">
        <f>Site4!I148</f>
        <v>38545</v>
      </c>
      <c r="BI128" s="261">
        <f>Site4!J148</f>
        <v>41151</v>
      </c>
      <c r="BJ128" s="261">
        <f>Site4!K148</f>
        <v>44066</v>
      </c>
      <c r="BK128" s="261">
        <f>Site4!L148</f>
        <v>47059</v>
      </c>
      <c r="BL128" s="261">
        <f>Site4!M148</f>
        <v>50379</v>
      </c>
      <c r="BM128" s="261">
        <f>Site4!N148</f>
        <v>53784</v>
      </c>
      <c r="BN128" s="261">
        <f>Site4!O148</f>
        <v>57534</v>
      </c>
      <c r="BO128" s="261">
        <f>Site4!P148</f>
        <v>61378</v>
      </c>
      <c r="BQ128" s="261">
        <f>Site5!E148</f>
        <v>16125</v>
      </c>
      <c r="BR128" s="261">
        <f>Site5!F148</f>
        <v>23027</v>
      </c>
      <c r="BS128" s="261">
        <f>Site5!G148</f>
        <v>26832</v>
      </c>
      <c r="BT128" s="261">
        <f>Site5!H148</f>
        <v>28715</v>
      </c>
      <c r="BU128" s="261">
        <f>Site5!I148</f>
        <v>30650</v>
      </c>
      <c r="BV128" s="261">
        <f>Site5!J148</f>
        <v>32874</v>
      </c>
      <c r="BW128" s="261">
        <f>Site5!K148</f>
        <v>35157</v>
      </c>
      <c r="BX128" s="261">
        <f>Site5!L148</f>
        <v>37500</v>
      </c>
      <c r="BY128" s="261">
        <f>Site5!M148</f>
        <v>40153</v>
      </c>
      <c r="BZ128" s="261">
        <f>Site5!N148</f>
        <v>42875</v>
      </c>
      <c r="CA128" s="261">
        <f>Site5!O148</f>
        <v>45666</v>
      </c>
      <c r="CB128" s="261">
        <f>Site5!P148</f>
        <v>48788</v>
      </c>
      <c r="CD128" s="261">
        <f>Site6!E148</f>
        <v>0</v>
      </c>
      <c r="CE128" s="261">
        <f>Site6!F148</f>
        <v>0</v>
      </c>
      <c r="CF128" s="261">
        <f>Site6!G148</f>
        <v>20124</v>
      </c>
      <c r="CG128" s="261">
        <f>Site6!H148</f>
        <v>29627</v>
      </c>
      <c r="CH128" s="261">
        <f>Site6!I148</f>
        <v>34830</v>
      </c>
      <c r="CI128" s="261">
        <f>Site6!J148</f>
        <v>37367</v>
      </c>
      <c r="CJ128" s="261">
        <f>Site6!K148</f>
        <v>39973</v>
      </c>
      <c r="CK128" s="261">
        <f>Site6!L148</f>
        <v>42647</v>
      </c>
      <c r="CL128" s="261">
        <f>Site6!M148</f>
        <v>45640</v>
      </c>
      <c r="CM128" s="261">
        <f>Site6!N148</f>
        <v>48710</v>
      </c>
      <c r="CN128" s="261">
        <f>Site6!O148</f>
        <v>52116</v>
      </c>
      <c r="CO128" s="261">
        <f>Site6!P148</f>
        <v>55608</v>
      </c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</row>
    <row r="129" spans="1:107" s="31" customFormat="1" hidden="1" outlineLevel="1" x14ac:dyDescent="0.25">
      <c r="A129" s="100">
        <v>6651</v>
      </c>
      <c r="B129" s="18" t="s">
        <v>473</v>
      </c>
      <c r="D129" s="154">
        <f t="shared" si="22"/>
        <v>0</v>
      </c>
      <c r="E129" s="154">
        <f t="shared" si="23"/>
        <v>0</v>
      </c>
      <c r="F129" s="154">
        <f t="shared" si="24"/>
        <v>0</v>
      </c>
      <c r="G129" s="154">
        <f t="shared" si="25"/>
        <v>0</v>
      </c>
      <c r="H129" s="154">
        <f t="shared" si="26"/>
        <v>0</v>
      </c>
      <c r="I129" s="154">
        <f t="shared" si="27"/>
        <v>0</v>
      </c>
      <c r="J129" s="154">
        <f t="shared" si="28"/>
        <v>0</v>
      </c>
      <c r="K129" s="154">
        <f t="shared" si="29"/>
        <v>0</v>
      </c>
      <c r="L129" s="154">
        <f t="shared" si="30"/>
        <v>0</v>
      </c>
      <c r="M129" s="154">
        <f t="shared" si="31"/>
        <v>0</v>
      </c>
      <c r="N129" s="154">
        <f t="shared" si="32"/>
        <v>0</v>
      </c>
      <c r="O129" s="154">
        <f t="shared" si="33"/>
        <v>0</v>
      </c>
      <c r="Q129" s="6">
        <f>Site1!E149</f>
        <v>0</v>
      </c>
      <c r="R129" s="6">
        <f>Site1!F149</f>
        <v>0</v>
      </c>
      <c r="S129" s="6">
        <f>Site1!G149</f>
        <v>0</v>
      </c>
      <c r="T129" s="6">
        <f>Site1!H149</f>
        <v>0</v>
      </c>
      <c r="U129" s="6">
        <f>Site1!I149</f>
        <v>0</v>
      </c>
      <c r="V129" s="6">
        <f>Site1!J149</f>
        <v>0</v>
      </c>
      <c r="W129" s="6">
        <f>Site1!K149</f>
        <v>0</v>
      </c>
      <c r="X129" s="6">
        <f>Site1!L149</f>
        <v>0</v>
      </c>
      <c r="Y129" s="6">
        <f>Site1!M149</f>
        <v>0</v>
      </c>
      <c r="Z129" s="6">
        <f>Site1!N149</f>
        <v>0</v>
      </c>
      <c r="AA129" s="6">
        <f>Site1!O149</f>
        <v>0</v>
      </c>
      <c r="AB129" s="6">
        <f>Site1!P149</f>
        <v>0</v>
      </c>
      <c r="AD129" s="6">
        <f>Site2!E149</f>
        <v>0</v>
      </c>
      <c r="AE129" s="6">
        <f>Site2!F149</f>
        <v>0</v>
      </c>
      <c r="AF129" s="6">
        <f>Site2!G149</f>
        <v>0</v>
      </c>
      <c r="AG129" s="6">
        <f>Site2!H149</f>
        <v>0</v>
      </c>
      <c r="AH129" s="6">
        <f>Site2!I149</f>
        <v>0</v>
      </c>
      <c r="AI129" s="6">
        <f>Site2!J149</f>
        <v>0</v>
      </c>
      <c r="AJ129" s="6">
        <f>Site2!K149</f>
        <v>0</v>
      </c>
      <c r="AK129" s="6">
        <f>Site2!L149</f>
        <v>0</v>
      </c>
      <c r="AL129" s="6">
        <f>Site2!M149</f>
        <v>0</v>
      </c>
      <c r="AM129" s="6">
        <f>Site2!N149</f>
        <v>0</v>
      </c>
      <c r="AN129" s="6">
        <f>Site2!O149</f>
        <v>0</v>
      </c>
      <c r="AO129" s="6">
        <f>Site2!P149</f>
        <v>0</v>
      </c>
      <c r="AQ129" s="6">
        <f>Site3!E149</f>
        <v>0</v>
      </c>
      <c r="AR129" s="6">
        <f>Site3!F149</f>
        <v>0</v>
      </c>
      <c r="AS129" s="6">
        <f>Site3!G149</f>
        <v>0</v>
      </c>
      <c r="AT129" s="6">
        <f>Site3!H149</f>
        <v>0</v>
      </c>
      <c r="AU129" s="6">
        <f>Site3!I149</f>
        <v>0</v>
      </c>
      <c r="AV129" s="6">
        <f>Site3!J149</f>
        <v>0</v>
      </c>
      <c r="AW129" s="6">
        <f>Site3!K149</f>
        <v>0</v>
      </c>
      <c r="AX129" s="6">
        <f>Site3!L149</f>
        <v>0</v>
      </c>
      <c r="AY129" s="6">
        <f>Site3!M149</f>
        <v>0</v>
      </c>
      <c r="AZ129" s="6">
        <f>Site3!N149</f>
        <v>0</v>
      </c>
      <c r="BA129" s="6">
        <f>Site3!O149</f>
        <v>0</v>
      </c>
      <c r="BB129" s="6">
        <f>Site3!P149</f>
        <v>0</v>
      </c>
      <c r="BD129" s="6">
        <f>Site4!E149</f>
        <v>0</v>
      </c>
      <c r="BE129" s="6">
        <f>Site4!F149</f>
        <v>0</v>
      </c>
      <c r="BF129" s="6">
        <f>Site4!G149</f>
        <v>0</v>
      </c>
      <c r="BG129" s="6">
        <f>Site4!H149</f>
        <v>0</v>
      </c>
      <c r="BH129" s="6">
        <f>Site4!I149</f>
        <v>0</v>
      </c>
      <c r="BI129" s="6">
        <f>Site4!J149</f>
        <v>0</v>
      </c>
      <c r="BJ129" s="6">
        <f>Site4!K149</f>
        <v>0</v>
      </c>
      <c r="BK129" s="6">
        <f>Site4!L149</f>
        <v>0</v>
      </c>
      <c r="BL129" s="6">
        <f>Site4!M149</f>
        <v>0</v>
      </c>
      <c r="BM129" s="6">
        <f>Site4!N149</f>
        <v>0</v>
      </c>
      <c r="BN129" s="6">
        <f>Site4!O149</f>
        <v>0</v>
      </c>
      <c r="BO129" s="6">
        <f>Site4!P149</f>
        <v>0</v>
      </c>
      <c r="BQ129" s="6">
        <f>Site5!E149</f>
        <v>0</v>
      </c>
      <c r="BR129" s="6">
        <f>Site5!F149</f>
        <v>0</v>
      </c>
      <c r="BS129" s="6">
        <f>Site5!G149</f>
        <v>0</v>
      </c>
      <c r="BT129" s="6">
        <f>Site5!H149</f>
        <v>0</v>
      </c>
      <c r="BU129" s="6">
        <f>Site5!I149</f>
        <v>0</v>
      </c>
      <c r="BV129" s="6">
        <f>Site5!J149</f>
        <v>0</v>
      </c>
      <c r="BW129" s="6">
        <f>Site5!K149</f>
        <v>0</v>
      </c>
      <c r="BX129" s="6">
        <f>Site5!L149</f>
        <v>0</v>
      </c>
      <c r="BY129" s="6">
        <f>Site5!M149</f>
        <v>0</v>
      </c>
      <c r="BZ129" s="6">
        <f>Site5!N149</f>
        <v>0</v>
      </c>
      <c r="CA129" s="6">
        <f>Site5!O149</f>
        <v>0</v>
      </c>
      <c r="CB129" s="6">
        <f>Site5!P149</f>
        <v>0</v>
      </c>
      <c r="CD129" s="6">
        <f>Site6!E149</f>
        <v>0</v>
      </c>
      <c r="CE129" s="6">
        <f>Site6!F149</f>
        <v>0</v>
      </c>
      <c r="CF129" s="6">
        <f>Site6!G149</f>
        <v>0</v>
      </c>
      <c r="CG129" s="6">
        <f>Site6!H149</f>
        <v>0</v>
      </c>
      <c r="CH129" s="6">
        <f>Site6!I149</f>
        <v>0</v>
      </c>
      <c r="CI129" s="6">
        <f>Site6!J149</f>
        <v>0</v>
      </c>
      <c r="CJ129" s="6">
        <f>Site6!K149</f>
        <v>0</v>
      </c>
      <c r="CK129" s="6">
        <f>Site6!L149</f>
        <v>0</v>
      </c>
      <c r="CL129" s="6">
        <f>Site6!M149</f>
        <v>0</v>
      </c>
      <c r="CM129" s="6">
        <f>Site6!N149</f>
        <v>0</v>
      </c>
      <c r="CN129" s="6">
        <f>Site6!O149</f>
        <v>0</v>
      </c>
      <c r="CO129" s="6">
        <f>Site6!P149</f>
        <v>0</v>
      </c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s="31" customFormat="1" hidden="1" outlineLevel="1" x14ac:dyDescent="0.25">
      <c r="A130" s="100">
        <v>6651</v>
      </c>
      <c r="B130" s="18" t="s">
        <v>474</v>
      </c>
      <c r="D130" s="154">
        <f t="shared" si="22"/>
        <v>0</v>
      </c>
      <c r="E130" s="154">
        <f t="shared" si="23"/>
        <v>0</v>
      </c>
      <c r="F130" s="154">
        <f t="shared" si="24"/>
        <v>0</v>
      </c>
      <c r="G130" s="154">
        <f t="shared" si="25"/>
        <v>0</v>
      </c>
      <c r="H130" s="154">
        <f t="shared" si="26"/>
        <v>0</v>
      </c>
      <c r="I130" s="154">
        <f t="shared" si="27"/>
        <v>0</v>
      </c>
      <c r="J130" s="154">
        <f t="shared" si="28"/>
        <v>0</v>
      </c>
      <c r="K130" s="154">
        <f t="shared" si="29"/>
        <v>0</v>
      </c>
      <c r="L130" s="154">
        <f t="shared" si="30"/>
        <v>0</v>
      </c>
      <c r="M130" s="154">
        <f t="shared" si="31"/>
        <v>0</v>
      </c>
      <c r="N130" s="154">
        <f t="shared" si="32"/>
        <v>0</v>
      </c>
      <c r="O130" s="154">
        <f t="shared" si="33"/>
        <v>0</v>
      </c>
      <c r="Q130" s="6">
        <f>Site1!E150</f>
        <v>0</v>
      </c>
      <c r="R130" s="6">
        <f>Site1!F150</f>
        <v>0</v>
      </c>
      <c r="S130" s="6">
        <f>Site1!G150</f>
        <v>0</v>
      </c>
      <c r="T130" s="6">
        <f>Site1!H150</f>
        <v>0</v>
      </c>
      <c r="U130" s="6">
        <f>Site1!I150</f>
        <v>0</v>
      </c>
      <c r="V130" s="6">
        <f>Site1!J150</f>
        <v>0</v>
      </c>
      <c r="W130" s="6">
        <f>Site1!K150</f>
        <v>0</v>
      </c>
      <c r="X130" s="6">
        <f>Site1!L150</f>
        <v>0</v>
      </c>
      <c r="Y130" s="6">
        <f>Site1!M150</f>
        <v>0</v>
      </c>
      <c r="Z130" s="6">
        <f>Site1!N150</f>
        <v>0</v>
      </c>
      <c r="AA130" s="6">
        <f>Site1!O150</f>
        <v>0</v>
      </c>
      <c r="AB130" s="6">
        <f>Site1!P150</f>
        <v>0</v>
      </c>
      <c r="AD130" s="6">
        <f>Site2!E150</f>
        <v>0</v>
      </c>
      <c r="AE130" s="6">
        <f>Site2!F150</f>
        <v>0</v>
      </c>
      <c r="AF130" s="6">
        <f>Site2!G150</f>
        <v>0</v>
      </c>
      <c r="AG130" s="6">
        <f>Site2!H150</f>
        <v>0</v>
      </c>
      <c r="AH130" s="6">
        <f>Site2!I150</f>
        <v>0</v>
      </c>
      <c r="AI130" s="6">
        <f>Site2!J150</f>
        <v>0</v>
      </c>
      <c r="AJ130" s="6">
        <f>Site2!K150</f>
        <v>0</v>
      </c>
      <c r="AK130" s="6">
        <f>Site2!L150</f>
        <v>0</v>
      </c>
      <c r="AL130" s="6">
        <f>Site2!M150</f>
        <v>0</v>
      </c>
      <c r="AM130" s="6">
        <f>Site2!N150</f>
        <v>0</v>
      </c>
      <c r="AN130" s="6">
        <f>Site2!O150</f>
        <v>0</v>
      </c>
      <c r="AO130" s="6">
        <f>Site2!P150</f>
        <v>0</v>
      </c>
      <c r="AQ130" s="6">
        <f>Site3!E150</f>
        <v>0</v>
      </c>
      <c r="AR130" s="6">
        <f>Site3!F150</f>
        <v>0</v>
      </c>
      <c r="AS130" s="6">
        <f>Site3!G150</f>
        <v>0</v>
      </c>
      <c r="AT130" s="6">
        <f>Site3!H150</f>
        <v>0</v>
      </c>
      <c r="AU130" s="6">
        <f>Site3!I150</f>
        <v>0</v>
      </c>
      <c r="AV130" s="6">
        <f>Site3!J150</f>
        <v>0</v>
      </c>
      <c r="AW130" s="6">
        <f>Site3!K150</f>
        <v>0</v>
      </c>
      <c r="AX130" s="6">
        <f>Site3!L150</f>
        <v>0</v>
      </c>
      <c r="AY130" s="6">
        <f>Site3!M150</f>
        <v>0</v>
      </c>
      <c r="AZ130" s="6">
        <f>Site3!N150</f>
        <v>0</v>
      </c>
      <c r="BA130" s="6">
        <f>Site3!O150</f>
        <v>0</v>
      </c>
      <c r="BB130" s="6">
        <f>Site3!P150</f>
        <v>0</v>
      </c>
      <c r="BD130" s="6">
        <f>Site4!E150</f>
        <v>0</v>
      </c>
      <c r="BE130" s="6">
        <f>Site4!F150</f>
        <v>0</v>
      </c>
      <c r="BF130" s="6">
        <f>Site4!G150</f>
        <v>0</v>
      </c>
      <c r="BG130" s="6">
        <f>Site4!H150</f>
        <v>0</v>
      </c>
      <c r="BH130" s="6">
        <f>Site4!I150</f>
        <v>0</v>
      </c>
      <c r="BI130" s="6">
        <f>Site4!J150</f>
        <v>0</v>
      </c>
      <c r="BJ130" s="6">
        <f>Site4!K150</f>
        <v>0</v>
      </c>
      <c r="BK130" s="6">
        <f>Site4!L150</f>
        <v>0</v>
      </c>
      <c r="BL130" s="6">
        <f>Site4!M150</f>
        <v>0</v>
      </c>
      <c r="BM130" s="6">
        <f>Site4!N150</f>
        <v>0</v>
      </c>
      <c r="BN130" s="6">
        <f>Site4!O150</f>
        <v>0</v>
      </c>
      <c r="BO130" s="6">
        <f>Site4!P150</f>
        <v>0</v>
      </c>
      <c r="BQ130" s="6">
        <f>Site5!E150</f>
        <v>0</v>
      </c>
      <c r="BR130" s="6">
        <f>Site5!F150</f>
        <v>0</v>
      </c>
      <c r="BS130" s="6">
        <f>Site5!G150</f>
        <v>0</v>
      </c>
      <c r="BT130" s="6">
        <f>Site5!H150</f>
        <v>0</v>
      </c>
      <c r="BU130" s="6">
        <f>Site5!I150</f>
        <v>0</v>
      </c>
      <c r="BV130" s="6">
        <f>Site5!J150</f>
        <v>0</v>
      </c>
      <c r="BW130" s="6">
        <f>Site5!K150</f>
        <v>0</v>
      </c>
      <c r="BX130" s="6">
        <f>Site5!L150</f>
        <v>0</v>
      </c>
      <c r="BY130" s="6">
        <f>Site5!M150</f>
        <v>0</v>
      </c>
      <c r="BZ130" s="6">
        <f>Site5!N150</f>
        <v>0</v>
      </c>
      <c r="CA130" s="6">
        <f>Site5!O150</f>
        <v>0</v>
      </c>
      <c r="CB130" s="6">
        <f>Site5!P150</f>
        <v>0</v>
      </c>
      <c r="CD130" s="6">
        <f>Site6!E150</f>
        <v>0</v>
      </c>
      <c r="CE130" s="6">
        <f>Site6!F150</f>
        <v>0</v>
      </c>
      <c r="CF130" s="6">
        <f>Site6!G150</f>
        <v>0</v>
      </c>
      <c r="CG130" s="6">
        <f>Site6!H150</f>
        <v>0</v>
      </c>
      <c r="CH130" s="6">
        <f>Site6!I150</f>
        <v>0</v>
      </c>
      <c r="CI130" s="6">
        <f>Site6!J150</f>
        <v>0</v>
      </c>
      <c r="CJ130" s="6">
        <f>Site6!K150</f>
        <v>0</v>
      </c>
      <c r="CK130" s="6">
        <f>Site6!L150</f>
        <v>0</v>
      </c>
      <c r="CL130" s="6">
        <f>Site6!M150</f>
        <v>0</v>
      </c>
      <c r="CM130" s="6">
        <f>Site6!N150</f>
        <v>0</v>
      </c>
      <c r="CN130" s="6">
        <f>Site6!O150</f>
        <v>0</v>
      </c>
      <c r="CO130" s="6">
        <f>Site6!P150</f>
        <v>0</v>
      </c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1:107" s="31" customFormat="1" hidden="1" outlineLevel="1" x14ac:dyDescent="0.25">
      <c r="A131" s="100">
        <v>6651</v>
      </c>
      <c r="B131" s="18" t="s">
        <v>491</v>
      </c>
      <c r="D131" s="154">
        <f t="shared" si="22"/>
        <v>0</v>
      </c>
      <c r="E131" s="154">
        <f t="shared" si="23"/>
        <v>0</v>
      </c>
      <c r="F131" s="154">
        <f t="shared" si="24"/>
        <v>0</v>
      </c>
      <c r="G131" s="154">
        <f t="shared" si="25"/>
        <v>0</v>
      </c>
      <c r="H131" s="154">
        <f t="shared" si="26"/>
        <v>0</v>
      </c>
      <c r="I131" s="154">
        <f t="shared" si="27"/>
        <v>0</v>
      </c>
      <c r="J131" s="154">
        <f t="shared" si="28"/>
        <v>0</v>
      </c>
      <c r="K131" s="154">
        <f t="shared" si="29"/>
        <v>0</v>
      </c>
      <c r="L131" s="154">
        <f t="shared" si="30"/>
        <v>0</v>
      </c>
      <c r="M131" s="154">
        <f t="shared" si="31"/>
        <v>0</v>
      </c>
      <c r="N131" s="154">
        <f t="shared" si="32"/>
        <v>0</v>
      </c>
      <c r="O131" s="154">
        <f t="shared" si="33"/>
        <v>0</v>
      </c>
      <c r="Q131" s="6">
        <f>Site1!E151</f>
        <v>0</v>
      </c>
      <c r="R131" s="6">
        <f>Site1!F151</f>
        <v>0</v>
      </c>
      <c r="S131" s="6">
        <f>Site1!G151</f>
        <v>0</v>
      </c>
      <c r="T131" s="6">
        <f>Site1!H151</f>
        <v>0</v>
      </c>
      <c r="U131" s="6">
        <f>Site1!I151</f>
        <v>0</v>
      </c>
      <c r="V131" s="6">
        <f>Site1!J151</f>
        <v>0</v>
      </c>
      <c r="W131" s="6">
        <f>Site1!K151</f>
        <v>0</v>
      </c>
      <c r="X131" s="6">
        <f>Site1!L151</f>
        <v>0</v>
      </c>
      <c r="Y131" s="6">
        <f>Site1!M151</f>
        <v>0</v>
      </c>
      <c r="Z131" s="6">
        <f>Site1!N151</f>
        <v>0</v>
      </c>
      <c r="AA131" s="6">
        <f>Site1!O151</f>
        <v>0</v>
      </c>
      <c r="AB131" s="6">
        <f>Site1!P151</f>
        <v>0</v>
      </c>
      <c r="AD131" s="6">
        <f>Site2!E151</f>
        <v>0</v>
      </c>
      <c r="AE131" s="6">
        <f>Site2!F151</f>
        <v>0</v>
      </c>
      <c r="AF131" s="6">
        <f>Site2!G151</f>
        <v>0</v>
      </c>
      <c r="AG131" s="6">
        <f>Site2!H151</f>
        <v>0</v>
      </c>
      <c r="AH131" s="6">
        <f>Site2!I151</f>
        <v>0</v>
      </c>
      <c r="AI131" s="6">
        <f>Site2!J151</f>
        <v>0</v>
      </c>
      <c r="AJ131" s="6">
        <f>Site2!K151</f>
        <v>0</v>
      </c>
      <c r="AK131" s="6">
        <f>Site2!L151</f>
        <v>0</v>
      </c>
      <c r="AL131" s="6">
        <f>Site2!M151</f>
        <v>0</v>
      </c>
      <c r="AM131" s="6">
        <f>Site2!N151</f>
        <v>0</v>
      </c>
      <c r="AN131" s="6">
        <f>Site2!O151</f>
        <v>0</v>
      </c>
      <c r="AO131" s="6">
        <f>Site2!P151</f>
        <v>0</v>
      </c>
      <c r="AQ131" s="6">
        <f>Site3!E151</f>
        <v>0</v>
      </c>
      <c r="AR131" s="6">
        <f>Site3!F151</f>
        <v>0</v>
      </c>
      <c r="AS131" s="6">
        <f>Site3!G151</f>
        <v>0</v>
      </c>
      <c r="AT131" s="6">
        <f>Site3!H151</f>
        <v>0</v>
      </c>
      <c r="AU131" s="6">
        <f>Site3!I151</f>
        <v>0</v>
      </c>
      <c r="AV131" s="6">
        <f>Site3!J151</f>
        <v>0</v>
      </c>
      <c r="AW131" s="6">
        <f>Site3!K151</f>
        <v>0</v>
      </c>
      <c r="AX131" s="6">
        <f>Site3!L151</f>
        <v>0</v>
      </c>
      <c r="AY131" s="6">
        <f>Site3!M151</f>
        <v>0</v>
      </c>
      <c r="AZ131" s="6">
        <f>Site3!N151</f>
        <v>0</v>
      </c>
      <c r="BA131" s="6">
        <f>Site3!O151</f>
        <v>0</v>
      </c>
      <c r="BB131" s="6">
        <f>Site3!P151</f>
        <v>0</v>
      </c>
      <c r="BD131" s="6">
        <f>Site4!E151</f>
        <v>0</v>
      </c>
      <c r="BE131" s="6">
        <f>Site4!F151</f>
        <v>0</v>
      </c>
      <c r="BF131" s="6">
        <f>Site4!G151</f>
        <v>0</v>
      </c>
      <c r="BG131" s="6">
        <f>Site4!H151</f>
        <v>0</v>
      </c>
      <c r="BH131" s="6">
        <f>Site4!I151</f>
        <v>0</v>
      </c>
      <c r="BI131" s="6">
        <f>Site4!J151</f>
        <v>0</v>
      </c>
      <c r="BJ131" s="6">
        <f>Site4!K151</f>
        <v>0</v>
      </c>
      <c r="BK131" s="6">
        <f>Site4!L151</f>
        <v>0</v>
      </c>
      <c r="BL131" s="6">
        <f>Site4!M151</f>
        <v>0</v>
      </c>
      <c r="BM131" s="6">
        <f>Site4!N151</f>
        <v>0</v>
      </c>
      <c r="BN131" s="6">
        <f>Site4!O151</f>
        <v>0</v>
      </c>
      <c r="BO131" s="6">
        <f>Site4!P151</f>
        <v>0</v>
      </c>
      <c r="BQ131" s="6">
        <f>Site5!E151</f>
        <v>0</v>
      </c>
      <c r="BR131" s="6">
        <f>Site5!F151</f>
        <v>0</v>
      </c>
      <c r="BS131" s="6">
        <f>Site5!G151</f>
        <v>0</v>
      </c>
      <c r="BT131" s="6">
        <f>Site5!H151</f>
        <v>0</v>
      </c>
      <c r="BU131" s="6">
        <f>Site5!I151</f>
        <v>0</v>
      </c>
      <c r="BV131" s="6">
        <f>Site5!J151</f>
        <v>0</v>
      </c>
      <c r="BW131" s="6">
        <f>Site5!K151</f>
        <v>0</v>
      </c>
      <c r="BX131" s="6">
        <f>Site5!L151</f>
        <v>0</v>
      </c>
      <c r="BY131" s="6">
        <f>Site5!M151</f>
        <v>0</v>
      </c>
      <c r="BZ131" s="6">
        <f>Site5!N151</f>
        <v>0</v>
      </c>
      <c r="CA131" s="6">
        <f>Site5!O151</f>
        <v>0</v>
      </c>
      <c r="CB131" s="6">
        <f>Site5!P151</f>
        <v>0</v>
      </c>
      <c r="CD131" s="6">
        <f>Site6!E151</f>
        <v>0</v>
      </c>
      <c r="CE131" s="6">
        <f>Site6!F151</f>
        <v>0</v>
      </c>
      <c r="CF131" s="6">
        <f>Site6!G151</f>
        <v>0</v>
      </c>
      <c r="CG131" s="6">
        <f>Site6!H151</f>
        <v>0</v>
      </c>
      <c r="CH131" s="6">
        <f>Site6!I151</f>
        <v>0</v>
      </c>
      <c r="CI131" s="6">
        <f>Site6!J151</f>
        <v>0</v>
      </c>
      <c r="CJ131" s="6">
        <f>Site6!K151</f>
        <v>0</v>
      </c>
      <c r="CK131" s="6">
        <f>Site6!L151</f>
        <v>0</v>
      </c>
      <c r="CL131" s="6">
        <f>Site6!M151</f>
        <v>0</v>
      </c>
      <c r="CM131" s="6">
        <f>Site6!N151</f>
        <v>0</v>
      </c>
      <c r="CN131" s="6">
        <f>Site6!O151</f>
        <v>0</v>
      </c>
      <c r="CO131" s="6">
        <f>Site6!P151</f>
        <v>0</v>
      </c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s="31" customFormat="1" hidden="1" outlineLevel="1" x14ac:dyDescent="0.25">
      <c r="A132" s="100">
        <v>6651</v>
      </c>
      <c r="B132" s="18" t="s">
        <v>475</v>
      </c>
      <c r="D132" s="154">
        <f t="shared" si="22"/>
        <v>0</v>
      </c>
      <c r="E132" s="154">
        <f t="shared" si="23"/>
        <v>0</v>
      </c>
      <c r="F132" s="154">
        <f t="shared" si="24"/>
        <v>0</v>
      </c>
      <c r="G132" s="154">
        <f t="shared" si="25"/>
        <v>0</v>
      </c>
      <c r="H132" s="154">
        <f t="shared" si="26"/>
        <v>0</v>
      </c>
      <c r="I132" s="154">
        <f t="shared" si="27"/>
        <v>0</v>
      </c>
      <c r="J132" s="154">
        <f t="shared" si="28"/>
        <v>0</v>
      </c>
      <c r="K132" s="154">
        <f t="shared" si="29"/>
        <v>0</v>
      </c>
      <c r="L132" s="154">
        <f t="shared" si="30"/>
        <v>0</v>
      </c>
      <c r="M132" s="154">
        <f t="shared" si="31"/>
        <v>0</v>
      </c>
      <c r="N132" s="154">
        <f t="shared" si="32"/>
        <v>0</v>
      </c>
      <c r="O132" s="154">
        <f t="shared" si="33"/>
        <v>0</v>
      </c>
      <c r="Q132" s="6">
        <f>Site1!E152</f>
        <v>0</v>
      </c>
      <c r="R132" s="6">
        <f>Site1!F152</f>
        <v>0</v>
      </c>
      <c r="S132" s="6">
        <f>Site1!G152</f>
        <v>0</v>
      </c>
      <c r="T132" s="6">
        <f>Site1!H152</f>
        <v>0</v>
      </c>
      <c r="U132" s="6">
        <f>Site1!I152</f>
        <v>0</v>
      </c>
      <c r="V132" s="6">
        <f>Site1!J152</f>
        <v>0</v>
      </c>
      <c r="W132" s="6">
        <f>Site1!K152</f>
        <v>0</v>
      </c>
      <c r="X132" s="6">
        <f>Site1!L152</f>
        <v>0</v>
      </c>
      <c r="Y132" s="6">
        <f>Site1!M152</f>
        <v>0</v>
      </c>
      <c r="Z132" s="6">
        <f>Site1!N152</f>
        <v>0</v>
      </c>
      <c r="AA132" s="6">
        <f>Site1!O152</f>
        <v>0</v>
      </c>
      <c r="AB132" s="6">
        <f>Site1!P152</f>
        <v>0</v>
      </c>
      <c r="AD132" s="6">
        <f>Site2!E152</f>
        <v>0</v>
      </c>
      <c r="AE132" s="6">
        <f>Site2!F152</f>
        <v>0</v>
      </c>
      <c r="AF132" s="6">
        <f>Site2!G152</f>
        <v>0</v>
      </c>
      <c r="AG132" s="6">
        <f>Site2!H152</f>
        <v>0</v>
      </c>
      <c r="AH132" s="6">
        <f>Site2!I152</f>
        <v>0</v>
      </c>
      <c r="AI132" s="6">
        <f>Site2!J152</f>
        <v>0</v>
      </c>
      <c r="AJ132" s="6">
        <f>Site2!K152</f>
        <v>0</v>
      </c>
      <c r="AK132" s="6">
        <f>Site2!L152</f>
        <v>0</v>
      </c>
      <c r="AL132" s="6">
        <f>Site2!M152</f>
        <v>0</v>
      </c>
      <c r="AM132" s="6">
        <f>Site2!N152</f>
        <v>0</v>
      </c>
      <c r="AN132" s="6">
        <f>Site2!O152</f>
        <v>0</v>
      </c>
      <c r="AO132" s="6">
        <f>Site2!P152</f>
        <v>0</v>
      </c>
      <c r="AQ132" s="6">
        <f>Site3!E152</f>
        <v>0</v>
      </c>
      <c r="AR132" s="6">
        <f>Site3!F152</f>
        <v>0</v>
      </c>
      <c r="AS132" s="6">
        <f>Site3!G152</f>
        <v>0</v>
      </c>
      <c r="AT132" s="6">
        <f>Site3!H152</f>
        <v>0</v>
      </c>
      <c r="AU132" s="6">
        <f>Site3!I152</f>
        <v>0</v>
      </c>
      <c r="AV132" s="6">
        <f>Site3!J152</f>
        <v>0</v>
      </c>
      <c r="AW132" s="6">
        <f>Site3!K152</f>
        <v>0</v>
      </c>
      <c r="AX132" s="6">
        <f>Site3!L152</f>
        <v>0</v>
      </c>
      <c r="AY132" s="6">
        <f>Site3!M152</f>
        <v>0</v>
      </c>
      <c r="AZ132" s="6">
        <f>Site3!N152</f>
        <v>0</v>
      </c>
      <c r="BA132" s="6">
        <f>Site3!O152</f>
        <v>0</v>
      </c>
      <c r="BB132" s="6">
        <f>Site3!P152</f>
        <v>0</v>
      </c>
      <c r="BD132" s="6">
        <f>Site4!E152</f>
        <v>0</v>
      </c>
      <c r="BE132" s="6">
        <f>Site4!F152</f>
        <v>0</v>
      </c>
      <c r="BF132" s="6">
        <f>Site4!G152</f>
        <v>0</v>
      </c>
      <c r="BG132" s="6">
        <f>Site4!H152</f>
        <v>0</v>
      </c>
      <c r="BH132" s="6">
        <f>Site4!I152</f>
        <v>0</v>
      </c>
      <c r="BI132" s="6">
        <f>Site4!J152</f>
        <v>0</v>
      </c>
      <c r="BJ132" s="6">
        <f>Site4!K152</f>
        <v>0</v>
      </c>
      <c r="BK132" s="6">
        <f>Site4!L152</f>
        <v>0</v>
      </c>
      <c r="BL132" s="6">
        <f>Site4!M152</f>
        <v>0</v>
      </c>
      <c r="BM132" s="6">
        <f>Site4!N152</f>
        <v>0</v>
      </c>
      <c r="BN132" s="6">
        <f>Site4!O152</f>
        <v>0</v>
      </c>
      <c r="BO132" s="6">
        <f>Site4!P152</f>
        <v>0</v>
      </c>
      <c r="BQ132" s="6">
        <f>Site5!E152</f>
        <v>0</v>
      </c>
      <c r="BR132" s="6">
        <f>Site5!F152</f>
        <v>0</v>
      </c>
      <c r="BS132" s="6">
        <f>Site5!G152</f>
        <v>0</v>
      </c>
      <c r="BT132" s="6">
        <f>Site5!H152</f>
        <v>0</v>
      </c>
      <c r="BU132" s="6">
        <f>Site5!I152</f>
        <v>0</v>
      </c>
      <c r="BV132" s="6">
        <f>Site5!J152</f>
        <v>0</v>
      </c>
      <c r="BW132" s="6">
        <f>Site5!K152</f>
        <v>0</v>
      </c>
      <c r="BX132" s="6">
        <f>Site5!L152</f>
        <v>0</v>
      </c>
      <c r="BY132" s="6">
        <f>Site5!M152</f>
        <v>0</v>
      </c>
      <c r="BZ132" s="6">
        <f>Site5!N152</f>
        <v>0</v>
      </c>
      <c r="CA132" s="6">
        <f>Site5!O152</f>
        <v>0</v>
      </c>
      <c r="CB132" s="6">
        <f>Site5!P152</f>
        <v>0</v>
      </c>
      <c r="CD132" s="6">
        <f>Site6!E152</f>
        <v>0</v>
      </c>
      <c r="CE132" s="6">
        <f>Site6!F152</f>
        <v>0</v>
      </c>
      <c r="CF132" s="6">
        <f>Site6!G152</f>
        <v>0</v>
      </c>
      <c r="CG132" s="6">
        <f>Site6!H152</f>
        <v>0</v>
      </c>
      <c r="CH132" s="6">
        <f>Site6!I152</f>
        <v>0</v>
      </c>
      <c r="CI132" s="6">
        <f>Site6!J152</f>
        <v>0</v>
      </c>
      <c r="CJ132" s="6">
        <f>Site6!K152</f>
        <v>0</v>
      </c>
      <c r="CK132" s="6">
        <f>Site6!L152</f>
        <v>0</v>
      </c>
      <c r="CL132" s="6">
        <f>Site6!M152</f>
        <v>0</v>
      </c>
      <c r="CM132" s="6">
        <f>Site6!N152</f>
        <v>0</v>
      </c>
      <c r="CN132" s="6">
        <f>Site6!O152</f>
        <v>0</v>
      </c>
      <c r="CO132" s="6">
        <f>Site6!P152</f>
        <v>0</v>
      </c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s="31" customFormat="1" hidden="1" outlineLevel="1" x14ac:dyDescent="0.25">
      <c r="A133" s="100">
        <v>6651</v>
      </c>
      <c r="B133" s="18" t="s">
        <v>476</v>
      </c>
      <c r="D133" s="154">
        <f t="shared" si="22"/>
        <v>0</v>
      </c>
      <c r="E133" s="154">
        <f t="shared" si="23"/>
        <v>0</v>
      </c>
      <c r="F133" s="154">
        <f t="shared" si="24"/>
        <v>0</v>
      </c>
      <c r="G133" s="154">
        <f t="shared" si="25"/>
        <v>0</v>
      </c>
      <c r="H133" s="154">
        <f t="shared" si="26"/>
        <v>0</v>
      </c>
      <c r="I133" s="154">
        <f t="shared" si="27"/>
        <v>0</v>
      </c>
      <c r="J133" s="154">
        <f t="shared" si="28"/>
        <v>0</v>
      </c>
      <c r="K133" s="154">
        <f t="shared" si="29"/>
        <v>0</v>
      </c>
      <c r="L133" s="154">
        <f t="shared" si="30"/>
        <v>0</v>
      </c>
      <c r="M133" s="154">
        <f t="shared" si="31"/>
        <v>0</v>
      </c>
      <c r="N133" s="154">
        <f t="shared" si="32"/>
        <v>0</v>
      </c>
      <c r="O133" s="154">
        <f t="shared" si="33"/>
        <v>0</v>
      </c>
      <c r="Q133" s="6">
        <f>Site1!E153</f>
        <v>0</v>
      </c>
      <c r="R133" s="6">
        <f>Site1!F153</f>
        <v>0</v>
      </c>
      <c r="S133" s="6">
        <f>Site1!G153</f>
        <v>0</v>
      </c>
      <c r="T133" s="6">
        <f>Site1!H153</f>
        <v>0</v>
      </c>
      <c r="U133" s="6">
        <f>Site1!I153</f>
        <v>0</v>
      </c>
      <c r="V133" s="6">
        <f>Site1!J153</f>
        <v>0</v>
      </c>
      <c r="W133" s="6">
        <f>Site1!K153</f>
        <v>0</v>
      </c>
      <c r="X133" s="6">
        <f>Site1!L153</f>
        <v>0</v>
      </c>
      <c r="Y133" s="6">
        <f>Site1!M153</f>
        <v>0</v>
      </c>
      <c r="Z133" s="6">
        <f>Site1!N153</f>
        <v>0</v>
      </c>
      <c r="AA133" s="6">
        <f>Site1!O153</f>
        <v>0</v>
      </c>
      <c r="AB133" s="6">
        <f>Site1!P153</f>
        <v>0</v>
      </c>
      <c r="AD133" s="6">
        <f>Site2!E153</f>
        <v>0</v>
      </c>
      <c r="AE133" s="6">
        <f>Site2!F153</f>
        <v>0</v>
      </c>
      <c r="AF133" s="6">
        <f>Site2!G153</f>
        <v>0</v>
      </c>
      <c r="AG133" s="6">
        <f>Site2!H153</f>
        <v>0</v>
      </c>
      <c r="AH133" s="6">
        <f>Site2!I153</f>
        <v>0</v>
      </c>
      <c r="AI133" s="6">
        <f>Site2!J153</f>
        <v>0</v>
      </c>
      <c r="AJ133" s="6">
        <f>Site2!K153</f>
        <v>0</v>
      </c>
      <c r="AK133" s="6">
        <f>Site2!L153</f>
        <v>0</v>
      </c>
      <c r="AL133" s="6">
        <f>Site2!M153</f>
        <v>0</v>
      </c>
      <c r="AM133" s="6">
        <f>Site2!N153</f>
        <v>0</v>
      </c>
      <c r="AN133" s="6">
        <f>Site2!O153</f>
        <v>0</v>
      </c>
      <c r="AO133" s="6">
        <f>Site2!P153</f>
        <v>0</v>
      </c>
      <c r="AQ133" s="6">
        <f>Site3!E153</f>
        <v>0</v>
      </c>
      <c r="AR133" s="6">
        <f>Site3!F153</f>
        <v>0</v>
      </c>
      <c r="AS133" s="6">
        <f>Site3!G153</f>
        <v>0</v>
      </c>
      <c r="AT133" s="6">
        <f>Site3!H153</f>
        <v>0</v>
      </c>
      <c r="AU133" s="6">
        <f>Site3!I153</f>
        <v>0</v>
      </c>
      <c r="AV133" s="6">
        <f>Site3!J153</f>
        <v>0</v>
      </c>
      <c r="AW133" s="6">
        <f>Site3!K153</f>
        <v>0</v>
      </c>
      <c r="AX133" s="6">
        <f>Site3!L153</f>
        <v>0</v>
      </c>
      <c r="AY133" s="6">
        <f>Site3!M153</f>
        <v>0</v>
      </c>
      <c r="AZ133" s="6">
        <f>Site3!N153</f>
        <v>0</v>
      </c>
      <c r="BA133" s="6">
        <f>Site3!O153</f>
        <v>0</v>
      </c>
      <c r="BB133" s="6">
        <f>Site3!P153</f>
        <v>0</v>
      </c>
      <c r="BD133" s="6">
        <f>Site4!E153</f>
        <v>0</v>
      </c>
      <c r="BE133" s="6">
        <f>Site4!F153</f>
        <v>0</v>
      </c>
      <c r="BF133" s="6">
        <f>Site4!G153</f>
        <v>0</v>
      </c>
      <c r="BG133" s="6">
        <f>Site4!H153</f>
        <v>0</v>
      </c>
      <c r="BH133" s="6">
        <f>Site4!I153</f>
        <v>0</v>
      </c>
      <c r="BI133" s="6">
        <f>Site4!J153</f>
        <v>0</v>
      </c>
      <c r="BJ133" s="6">
        <f>Site4!K153</f>
        <v>0</v>
      </c>
      <c r="BK133" s="6">
        <f>Site4!L153</f>
        <v>0</v>
      </c>
      <c r="BL133" s="6">
        <f>Site4!M153</f>
        <v>0</v>
      </c>
      <c r="BM133" s="6">
        <f>Site4!N153</f>
        <v>0</v>
      </c>
      <c r="BN133" s="6">
        <f>Site4!O153</f>
        <v>0</v>
      </c>
      <c r="BO133" s="6">
        <f>Site4!P153</f>
        <v>0</v>
      </c>
      <c r="BQ133" s="6">
        <f>Site5!E153</f>
        <v>0</v>
      </c>
      <c r="BR133" s="6">
        <f>Site5!F153</f>
        <v>0</v>
      </c>
      <c r="BS133" s="6">
        <f>Site5!G153</f>
        <v>0</v>
      </c>
      <c r="BT133" s="6">
        <f>Site5!H153</f>
        <v>0</v>
      </c>
      <c r="BU133" s="6">
        <f>Site5!I153</f>
        <v>0</v>
      </c>
      <c r="BV133" s="6">
        <f>Site5!J153</f>
        <v>0</v>
      </c>
      <c r="BW133" s="6">
        <f>Site5!K153</f>
        <v>0</v>
      </c>
      <c r="BX133" s="6">
        <f>Site5!L153</f>
        <v>0</v>
      </c>
      <c r="BY133" s="6">
        <f>Site5!M153</f>
        <v>0</v>
      </c>
      <c r="BZ133" s="6">
        <f>Site5!N153</f>
        <v>0</v>
      </c>
      <c r="CA133" s="6">
        <f>Site5!O153</f>
        <v>0</v>
      </c>
      <c r="CB133" s="6">
        <f>Site5!P153</f>
        <v>0</v>
      </c>
      <c r="CD133" s="6">
        <f>Site6!E153</f>
        <v>0</v>
      </c>
      <c r="CE133" s="6">
        <f>Site6!F153</f>
        <v>0</v>
      </c>
      <c r="CF133" s="6">
        <f>Site6!G153</f>
        <v>0</v>
      </c>
      <c r="CG133" s="6">
        <f>Site6!H153</f>
        <v>0</v>
      </c>
      <c r="CH133" s="6">
        <f>Site6!I153</f>
        <v>0</v>
      </c>
      <c r="CI133" s="6">
        <f>Site6!J153</f>
        <v>0</v>
      </c>
      <c r="CJ133" s="6">
        <f>Site6!K153</f>
        <v>0</v>
      </c>
      <c r="CK133" s="6">
        <f>Site6!L153</f>
        <v>0</v>
      </c>
      <c r="CL133" s="6">
        <f>Site6!M153</f>
        <v>0</v>
      </c>
      <c r="CM133" s="6">
        <f>Site6!N153</f>
        <v>0</v>
      </c>
      <c r="CN133" s="6">
        <f>Site6!O153</f>
        <v>0</v>
      </c>
      <c r="CO133" s="6">
        <f>Site6!P153</f>
        <v>0</v>
      </c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1:107" s="31" customFormat="1" hidden="1" outlineLevel="1" x14ac:dyDescent="0.25">
      <c r="A134" s="100">
        <v>6651</v>
      </c>
      <c r="B134" s="18" t="s">
        <v>477</v>
      </c>
      <c r="D134" s="154">
        <f t="shared" si="22"/>
        <v>0</v>
      </c>
      <c r="E134" s="154">
        <f t="shared" si="23"/>
        <v>0</v>
      </c>
      <c r="F134" s="154">
        <f t="shared" si="24"/>
        <v>0</v>
      </c>
      <c r="G134" s="154">
        <f t="shared" si="25"/>
        <v>0</v>
      </c>
      <c r="H134" s="154">
        <f t="shared" si="26"/>
        <v>0</v>
      </c>
      <c r="I134" s="154">
        <f t="shared" si="27"/>
        <v>0</v>
      </c>
      <c r="J134" s="154">
        <f t="shared" si="28"/>
        <v>0</v>
      </c>
      <c r="K134" s="154">
        <f t="shared" si="29"/>
        <v>0</v>
      </c>
      <c r="L134" s="154">
        <f t="shared" si="30"/>
        <v>0</v>
      </c>
      <c r="M134" s="154">
        <f t="shared" si="31"/>
        <v>0</v>
      </c>
      <c r="N134" s="154">
        <f t="shared" si="32"/>
        <v>0</v>
      </c>
      <c r="O134" s="154">
        <f t="shared" si="33"/>
        <v>0</v>
      </c>
      <c r="Q134" s="6">
        <f>Site1!E154</f>
        <v>0</v>
      </c>
      <c r="R134" s="6">
        <f>Site1!F154</f>
        <v>0</v>
      </c>
      <c r="S134" s="6">
        <f>Site1!G154</f>
        <v>0</v>
      </c>
      <c r="T134" s="6">
        <f>Site1!H154</f>
        <v>0</v>
      </c>
      <c r="U134" s="6">
        <f>Site1!I154</f>
        <v>0</v>
      </c>
      <c r="V134" s="6">
        <f>Site1!J154</f>
        <v>0</v>
      </c>
      <c r="W134" s="6">
        <f>Site1!K154</f>
        <v>0</v>
      </c>
      <c r="X134" s="6">
        <f>Site1!L154</f>
        <v>0</v>
      </c>
      <c r="Y134" s="6">
        <f>Site1!M154</f>
        <v>0</v>
      </c>
      <c r="Z134" s="6">
        <f>Site1!N154</f>
        <v>0</v>
      </c>
      <c r="AA134" s="6">
        <f>Site1!O154</f>
        <v>0</v>
      </c>
      <c r="AB134" s="6">
        <f>Site1!P154</f>
        <v>0</v>
      </c>
      <c r="AD134" s="6">
        <f>Site2!E154</f>
        <v>0</v>
      </c>
      <c r="AE134" s="6">
        <f>Site2!F154</f>
        <v>0</v>
      </c>
      <c r="AF134" s="6">
        <f>Site2!G154</f>
        <v>0</v>
      </c>
      <c r="AG134" s="6">
        <f>Site2!H154</f>
        <v>0</v>
      </c>
      <c r="AH134" s="6">
        <f>Site2!I154</f>
        <v>0</v>
      </c>
      <c r="AI134" s="6">
        <f>Site2!J154</f>
        <v>0</v>
      </c>
      <c r="AJ134" s="6">
        <f>Site2!K154</f>
        <v>0</v>
      </c>
      <c r="AK134" s="6">
        <f>Site2!L154</f>
        <v>0</v>
      </c>
      <c r="AL134" s="6">
        <f>Site2!M154</f>
        <v>0</v>
      </c>
      <c r="AM134" s="6">
        <f>Site2!N154</f>
        <v>0</v>
      </c>
      <c r="AN134" s="6">
        <f>Site2!O154</f>
        <v>0</v>
      </c>
      <c r="AO134" s="6">
        <f>Site2!P154</f>
        <v>0</v>
      </c>
      <c r="AQ134" s="6">
        <f>Site3!E154</f>
        <v>0</v>
      </c>
      <c r="AR134" s="6">
        <f>Site3!F154</f>
        <v>0</v>
      </c>
      <c r="AS134" s="6">
        <f>Site3!G154</f>
        <v>0</v>
      </c>
      <c r="AT134" s="6">
        <f>Site3!H154</f>
        <v>0</v>
      </c>
      <c r="AU134" s="6">
        <f>Site3!I154</f>
        <v>0</v>
      </c>
      <c r="AV134" s="6">
        <f>Site3!J154</f>
        <v>0</v>
      </c>
      <c r="AW134" s="6">
        <f>Site3!K154</f>
        <v>0</v>
      </c>
      <c r="AX134" s="6">
        <f>Site3!L154</f>
        <v>0</v>
      </c>
      <c r="AY134" s="6">
        <f>Site3!M154</f>
        <v>0</v>
      </c>
      <c r="AZ134" s="6">
        <f>Site3!N154</f>
        <v>0</v>
      </c>
      <c r="BA134" s="6">
        <f>Site3!O154</f>
        <v>0</v>
      </c>
      <c r="BB134" s="6">
        <f>Site3!P154</f>
        <v>0</v>
      </c>
      <c r="BD134" s="6">
        <f>Site4!E154</f>
        <v>0</v>
      </c>
      <c r="BE134" s="6">
        <f>Site4!F154</f>
        <v>0</v>
      </c>
      <c r="BF134" s="6">
        <f>Site4!G154</f>
        <v>0</v>
      </c>
      <c r="BG134" s="6">
        <f>Site4!H154</f>
        <v>0</v>
      </c>
      <c r="BH134" s="6">
        <f>Site4!I154</f>
        <v>0</v>
      </c>
      <c r="BI134" s="6">
        <f>Site4!J154</f>
        <v>0</v>
      </c>
      <c r="BJ134" s="6">
        <f>Site4!K154</f>
        <v>0</v>
      </c>
      <c r="BK134" s="6">
        <f>Site4!L154</f>
        <v>0</v>
      </c>
      <c r="BL134" s="6">
        <f>Site4!M154</f>
        <v>0</v>
      </c>
      <c r="BM134" s="6">
        <f>Site4!N154</f>
        <v>0</v>
      </c>
      <c r="BN134" s="6">
        <f>Site4!O154</f>
        <v>0</v>
      </c>
      <c r="BO134" s="6">
        <f>Site4!P154</f>
        <v>0</v>
      </c>
      <c r="BQ134" s="6">
        <f>Site5!E154</f>
        <v>0</v>
      </c>
      <c r="BR134" s="6">
        <f>Site5!F154</f>
        <v>0</v>
      </c>
      <c r="BS134" s="6">
        <f>Site5!G154</f>
        <v>0</v>
      </c>
      <c r="BT134" s="6">
        <f>Site5!H154</f>
        <v>0</v>
      </c>
      <c r="BU134" s="6">
        <f>Site5!I154</f>
        <v>0</v>
      </c>
      <c r="BV134" s="6">
        <f>Site5!J154</f>
        <v>0</v>
      </c>
      <c r="BW134" s="6">
        <f>Site5!K154</f>
        <v>0</v>
      </c>
      <c r="BX134" s="6">
        <f>Site5!L154</f>
        <v>0</v>
      </c>
      <c r="BY134" s="6">
        <f>Site5!M154</f>
        <v>0</v>
      </c>
      <c r="BZ134" s="6">
        <f>Site5!N154</f>
        <v>0</v>
      </c>
      <c r="CA134" s="6">
        <f>Site5!O154</f>
        <v>0</v>
      </c>
      <c r="CB134" s="6">
        <f>Site5!P154</f>
        <v>0</v>
      </c>
      <c r="CD134" s="6">
        <f>Site6!E154</f>
        <v>0</v>
      </c>
      <c r="CE134" s="6">
        <f>Site6!F154</f>
        <v>0</v>
      </c>
      <c r="CF134" s="6">
        <f>Site6!G154</f>
        <v>0</v>
      </c>
      <c r="CG134" s="6">
        <f>Site6!H154</f>
        <v>0</v>
      </c>
      <c r="CH134" s="6">
        <f>Site6!I154</f>
        <v>0</v>
      </c>
      <c r="CI134" s="6">
        <f>Site6!J154</f>
        <v>0</v>
      </c>
      <c r="CJ134" s="6">
        <f>Site6!K154</f>
        <v>0</v>
      </c>
      <c r="CK134" s="6">
        <f>Site6!L154</f>
        <v>0</v>
      </c>
      <c r="CL134" s="6">
        <f>Site6!M154</f>
        <v>0</v>
      </c>
      <c r="CM134" s="6">
        <f>Site6!N154</f>
        <v>0</v>
      </c>
      <c r="CN134" s="6">
        <f>Site6!O154</f>
        <v>0</v>
      </c>
      <c r="CO134" s="6">
        <f>Site6!P154</f>
        <v>0</v>
      </c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s="31" customFormat="1" hidden="1" outlineLevel="1" x14ac:dyDescent="0.25">
      <c r="A135" s="100">
        <v>6651</v>
      </c>
      <c r="B135" s="18" t="s">
        <v>470</v>
      </c>
      <c r="D135" s="154">
        <f t="shared" si="22"/>
        <v>0</v>
      </c>
      <c r="E135" s="154">
        <f t="shared" si="23"/>
        <v>0</v>
      </c>
      <c r="F135" s="154">
        <f t="shared" si="24"/>
        <v>0</v>
      </c>
      <c r="G135" s="154">
        <f t="shared" si="25"/>
        <v>0</v>
      </c>
      <c r="H135" s="154">
        <f t="shared" si="26"/>
        <v>0</v>
      </c>
      <c r="I135" s="154">
        <f t="shared" si="27"/>
        <v>0</v>
      </c>
      <c r="J135" s="154">
        <f t="shared" si="28"/>
        <v>0</v>
      </c>
      <c r="K135" s="154">
        <f t="shared" si="29"/>
        <v>0</v>
      </c>
      <c r="L135" s="154">
        <f t="shared" si="30"/>
        <v>0</v>
      </c>
      <c r="M135" s="154">
        <f t="shared" si="31"/>
        <v>0</v>
      </c>
      <c r="N135" s="154">
        <f t="shared" si="32"/>
        <v>0</v>
      </c>
      <c r="O135" s="154">
        <f t="shared" si="33"/>
        <v>0</v>
      </c>
      <c r="Q135" s="6">
        <f>Site1!E155</f>
        <v>0</v>
      </c>
      <c r="R135" s="6">
        <f>Site1!F155</f>
        <v>0</v>
      </c>
      <c r="S135" s="6">
        <f>Site1!G155</f>
        <v>0</v>
      </c>
      <c r="T135" s="6">
        <f>Site1!H155</f>
        <v>0</v>
      </c>
      <c r="U135" s="6">
        <f>Site1!I155</f>
        <v>0</v>
      </c>
      <c r="V135" s="6">
        <f>Site1!J155</f>
        <v>0</v>
      </c>
      <c r="W135" s="6">
        <f>Site1!K155</f>
        <v>0</v>
      </c>
      <c r="X135" s="6">
        <f>Site1!L155</f>
        <v>0</v>
      </c>
      <c r="Y135" s="6">
        <f>Site1!M155</f>
        <v>0</v>
      </c>
      <c r="Z135" s="6">
        <f>Site1!N155</f>
        <v>0</v>
      </c>
      <c r="AA135" s="6">
        <f>Site1!O155</f>
        <v>0</v>
      </c>
      <c r="AB135" s="6">
        <f>Site1!P155</f>
        <v>0</v>
      </c>
      <c r="AD135" s="6">
        <f>Site2!E155</f>
        <v>0</v>
      </c>
      <c r="AE135" s="6">
        <f>Site2!F155</f>
        <v>0</v>
      </c>
      <c r="AF135" s="6">
        <f>Site2!G155</f>
        <v>0</v>
      </c>
      <c r="AG135" s="6">
        <f>Site2!H155</f>
        <v>0</v>
      </c>
      <c r="AH135" s="6">
        <f>Site2!I155</f>
        <v>0</v>
      </c>
      <c r="AI135" s="6">
        <f>Site2!J155</f>
        <v>0</v>
      </c>
      <c r="AJ135" s="6">
        <f>Site2!K155</f>
        <v>0</v>
      </c>
      <c r="AK135" s="6">
        <f>Site2!L155</f>
        <v>0</v>
      </c>
      <c r="AL135" s="6">
        <f>Site2!M155</f>
        <v>0</v>
      </c>
      <c r="AM135" s="6">
        <f>Site2!N155</f>
        <v>0</v>
      </c>
      <c r="AN135" s="6">
        <f>Site2!O155</f>
        <v>0</v>
      </c>
      <c r="AO135" s="6">
        <f>Site2!P155</f>
        <v>0</v>
      </c>
      <c r="AQ135" s="6">
        <f>Site3!E155</f>
        <v>0</v>
      </c>
      <c r="AR135" s="6">
        <f>Site3!F155</f>
        <v>0</v>
      </c>
      <c r="AS135" s="6">
        <f>Site3!G155</f>
        <v>0</v>
      </c>
      <c r="AT135" s="6">
        <f>Site3!H155</f>
        <v>0</v>
      </c>
      <c r="AU135" s="6">
        <f>Site3!I155</f>
        <v>0</v>
      </c>
      <c r="AV135" s="6">
        <f>Site3!J155</f>
        <v>0</v>
      </c>
      <c r="AW135" s="6">
        <f>Site3!K155</f>
        <v>0</v>
      </c>
      <c r="AX135" s="6">
        <f>Site3!L155</f>
        <v>0</v>
      </c>
      <c r="AY135" s="6">
        <f>Site3!M155</f>
        <v>0</v>
      </c>
      <c r="AZ135" s="6">
        <f>Site3!N155</f>
        <v>0</v>
      </c>
      <c r="BA135" s="6">
        <f>Site3!O155</f>
        <v>0</v>
      </c>
      <c r="BB135" s="6">
        <f>Site3!P155</f>
        <v>0</v>
      </c>
      <c r="BD135" s="6">
        <f>Site4!E155</f>
        <v>0</v>
      </c>
      <c r="BE135" s="6">
        <f>Site4!F155</f>
        <v>0</v>
      </c>
      <c r="BF135" s="6">
        <f>Site4!G155</f>
        <v>0</v>
      </c>
      <c r="BG135" s="6">
        <f>Site4!H155</f>
        <v>0</v>
      </c>
      <c r="BH135" s="6">
        <f>Site4!I155</f>
        <v>0</v>
      </c>
      <c r="BI135" s="6">
        <f>Site4!J155</f>
        <v>0</v>
      </c>
      <c r="BJ135" s="6">
        <f>Site4!K155</f>
        <v>0</v>
      </c>
      <c r="BK135" s="6">
        <f>Site4!L155</f>
        <v>0</v>
      </c>
      <c r="BL135" s="6">
        <f>Site4!M155</f>
        <v>0</v>
      </c>
      <c r="BM135" s="6">
        <f>Site4!N155</f>
        <v>0</v>
      </c>
      <c r="BN135" s="6">
        <f>Site4!O155</f>
        <v>0</v>
      </c>
      <c r="BO135" s="6">
        <f>Site4!P155</f>
        <v>0</v>
      </c>
      <c r="BQ135" s="6">
        <f>Site5!E155</f>
        <v>0</v>
      </c>
      <c r="BR135" s="6">
        <f>Site5!F155</f>
        <v>0</v>
      </c>
      <c r="BS135" s="6">
        <f>Site5!G155</f>
        <v>0</v>
      </c>
      <c r="BT135" s="6">
        <f>Site5!H155</f>
        <v>0</v>
      </c>
      <c r="BU135" s="6">
        <f>Site5!I155</f>
        <v>0</v>
      </c>
      <c r="BV135" s="6">
        <f>Site5!J155</f>
        <v>0</v>
      </c>
      <c r="BW135" s="6">
        <f>Site5!K155</f>
        <v>0</v>
      </c>
      <c r="BX135" s="6">
        <f>Site5!L155</f>
        <v>0</v>
      </c>
      <c r="BY135" s="6">
        <f>Site5!M155</f>
        <v>0</v>
      </c>
      <c r="BZ135" s="6">
        <f>Site5!N155</f>
        <v>0</v>
      </c>
      <c r="CA135" s="6">
        <f>Site5!O155</f>
        <v>0</v>
      </c>
      <c r="CB135" s="6">
        <f>Site5!P155</f>
        <v>0</v>
      </c>
      <c r="CD135" s="6">
        <f>Site6!E155</f>
        <v>0</v>
      </c>
      <c r="CE135" s="6">
        <f>Site6!F155</f>
        <v>0</v>
      </c>
      <c r="CF135" s="6">
        <f>Site6!G155</f>
        <v>0</v>
      </c>
      <c r="CG135" s="6">
        <f>Site6!H155</f>
        <v>0</v>
      </c>
      <c r="CH135" s="6">
        <f>Site6!I155</f>
        <v>0</v>
      </c>
      <c r="CI135" s="6">
        <f>Site6!J155</f>
        <v>0</v>
      </c>
      <c r="CJ135" s="6">
        <f>Site6!K155</f>
        <v>0</v>
      </c>
      <c r="CK135" s="6">
        <f>Site6!L155</f>
        <v>0</v>
      </c>
      <c r="CL135" s="6">
        <f>Site6!M155</f>
        <v>0</v>
      </c>
      <c r="CM135" s="6">
        <f>Site6!N155</f>
        <v>0</v>
      </c>
      <c r="CN135" s="6">
        <f>Site6!O155</f>
        <v>0</v>
      </c>
      <c r="CO135" s="6">
        <f>Site6!P155</f>
        <v>0</v>
      </c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s="31" customFormat="1" hidden="1" outlineLevel="1" x14ac:dyDescent="0.25">
      <c r="A136" s="100">
        <v>6651</v>
      </c>
      <c r="B136" s="18" t="s">
        <v>471</v>
      </c>
      <c r="D136" s="154">
        <f t="shared" si="22"/>
        <v>0</v>
      </c>
      <c r="E136" s="154">
        <f t="shared" si="23"/>
        <v>0</v>
      </c>
      <c r="F136" s="154">
        <f t="shared" si="24"/>
        <v>0</v>
      </c>
      <c r="G136" s="154">
        <f t="shared" si="25"/>
        <v>0</v>
      </c>
      <c r="H136" s="154">
        <f t="shared" si="26"/>
        <v>0</v>
      </c>
      <c r="I136" s="154">
        <f t="shared" si="27"/>
        <v>0</v>
      </c>
      <c r="J136" s="154">
        <f t="shared" si="28"/>
        <v>0</v>
      </c>
      <c r="K136" s="154">
        <f t="shared" si="29"/>
        <v>0</v>
      </c>
      <c r="L136" s="154">
        <f t="shared" si="30"/>
        <v>0</v>
      </c>
      <c r="M136" s="154">
        <f t="shared" si="31"/>
        <v>0</v>
      </c>
      <c r="N136" s="154">
        <f t="shared" si="32"/>
        <v>0</v>
      </c>
      <c r="O136" s="154">
        <f t="shared" si="33"/>
        <v>0</v>
      </c>
      <c r="Q136" s="6">
        <f>Site1!E156</f>
        <v>0</v>
      </c>
      <c r="R136" s="6">
        <f>Site1!F156</f>
        <v>0</v>
      </c>
      <c r="S136" s="6">
        <f>Site1!G156</f>
        <v>0</v>
      </c>
      <c r="T136" s="6">
        <f>Site1!H156</f>
        <v>0</v>
      </c>
      <c r="U136" s="6">
        <f>Site1!I156</f>
        <v>0</v>
      </c>
      <c r="V136" s="6">
        <f>Site1!J156</f>
        <v>0</v>
      </c>
      <c r="W136" s="6">
        <f>Site1!K156</f>
        <v>0</v>
      </c>
      <c r="X136" s="6">
        <f>Site1!L156</f>
        <v>0</v>
      </c>
      <c r="Y136" s="6">
        <f>Site1!M156</f>
        <v>0</v>
      </c>
      <c r="Z136" s="6">
        <f>Site1!N156</f>
        <v>0</v>
      </c>
      <c r="AA136" s="6">
        <f>Site1!O156</f>
        <v>0</v>
      </c>
      <c r="AB136" s="6">
        <f>Site1!P156</f>
        <v>0</v>
      </c>
      <c r="AD136" s="6">
        <f>Site2!E156</f>
        <v>0</v>
      </c>
      <c r="AE136" s="6">
        <f>Site2!F156</f>
        <v>0</v>
      </c>
      <c r="AF136" s="6">
        <f>Site2!G156</f>
        <v>0</v>
      </c>
      <c r="AG136" s="6">
        <f>Site2!H156</f>
        <v>0</v>
      </c>
      <c r="AH136" s="6">
        <f>Site2!I156</f>
        <v>0</v>
      </c>
      <c r="AI136" s="6">
        <f>Site2!J156</f>
        <v>0</v>
      </c>
      <c r="AJ136" s="6">
        <f>Site2!K156</f>
        <v>0</v>
      </c>
      <c r="AK136" s="6">
        <f>Site2!L156</f>
        <v>0</v>
      </c>
      <c r="AL136" s="6">
        <f>Site2!M156</f>
        <v>0</v>
      </c>
      <c r="AM136" s="6">
        <f>Site2!N156</f>
        <v>0</v>
      </c>
      <c r="AN136" s="6">
        <f>Site2!O156</f>
        <v>0</v>
      </c>
      <c r="AO136" s="6">
        <f>Site2!P156</f>
        <v>0</v>
      </c>
      <c r="AQ136" s="6">
        <f>Site3!E156</f>
        <v>0</v>
      </c>
      <c r="AR136" s="6">
        <f>Site3!F156</f>
        <v>0</v>
      </c>
      <c r="AS136" s="6">
        <f>Site3!G156</f>
        <v>0</v>
      </c>
      <c r="AT136" s="6">
        <f>Site3!H156</f>
        <v>0</v>
      </c>
      <c r="AU136" s="6">
        <f>Site3!I156</f>
        <v>0</v>
      </c>
      <c r="AV136" s="6">
        <f>Site3!J156</f>
        <v>0</v>
      </c>
      <c r="AW136" s="6">
        <f>Site3!K156</f>
        <v>0</v>
      </c>
      <c r="AX136" s="6">
        <f>Site3!L156</f>
        <v>0</v>
      </c>
      <c r="AY136" s="6">
        <f>Site3!M156</f>
        <v>0</v>
      </c>
      <c r="AZ136" s="6">
        <f>Site3!N156</f>
        <v>0</v>
      </c>
      <c r="BA136" s="6">
        <f>Site3!O156</f>
        <v>0</v>
      </c>
      <c r="BB136" s="6">
        <f>Site3!P156</f>
        <v>0</v>
      </c>
      <c r="BD136" s="6">
        <f>Site4!E156</f>
        <v>0</v>
      </c>
      <c r="BE136" s="6">
        <f>Site4!F156</f>
        <v>0</v>
      </c>
      <c r="BF136" s="6">
        <f>Site4!G156</f>
        <v>0</v>
      </c>
      <c r="BG136" s="6">
        <f>Site4!H156</f>
        <v>0</v>
      </c>
      <c r="BH136" s="6">
        <f>Site4!I156</f>
        <v>0</v>
      </c>
      <c r="BI136" s="6">
        <f>Site4!J156</f>
        <v>0</v>
      </c>
      <c r="BJ136" s="6">
        <f>Site4!K156</f>
        <v>0</v>
      </c>
      <c r="BK136" s="6">
        <f>Site4!L156</f>
        <v>0</v>
      </c>
      <c r="BL136" s="6">
        <f>Site4!M156</f>
        <v>0</v>
      </c>
      <c r="BM136" s="6">
        <f>Site4!N156</f>
        <v>0</v>
      </c>
      <c r="BN136" s="6">
        <f>Site4!O156</f>
        <v>0</v>
      </c>
      <c r="BO136" s="6">
        <f>Site4!P156</f>
        <v>0</v>
      </c>
      <c r="BQ136" s="6">
        <f>Site5!E156</f>
        <v>0</v>
      </c>
      <c r="BR136" s="6">
        <f>Site5!F156</f>
        <v>0</v>
      </c>
      <c r="BS136" s="6">
        <f>Site5!G156</f>
        <v>0</v>
      </c>
      <c r="BT136" s="6">
        <f>Site5!H156</f>
        <v>0</v>
      </c>
      <c r="BU136" s="6">
        <f>Site5!I156</f>
        <v>0</v>
      </c>
      <c r="BV136" s="6">
        <f>Site5!J156</f>
        <v>0</v>
      </c>
      <c r="BW136" s="6">
        <f>Site5!K156</f>
        <v>0</v>
      </c>
      <c r="BX136" s="6">
        <f>Site5!L156</f>
        <v>0</v>
      </c>
      <c r="BY136" s="6">
        <f>Site5!M156</f>
        <v>0</v>
      </c>
      <c r="BZ136" s="6">
        <f>Site5!N156</f>
        <v>0</v>
      </c>
      <c r="CA136" s="6">
        <f>Site5!O156</f>
        <v>0</v>
      </c>
      <c r="CB136" s="6">
        <f>Site5!P156</f>
        <v>0</v>
      </c>
      <c r="CD136" s="6">
        <f>Site6!E156</f>
        <v>0</v>
      </c>
      <c r="CE136" s="6">
        <f>Site6!F156</f>
        <v>0</v>
      </c>
      <c r="CF136" s="6">
        <f>Site6!G156</f>
        <v>0</v>
      </c>
      <c r="CG136" s="6">
        <f>Site6!H156</f>
        <v>0</v>
      </c>
      <c r="CH136" s="6">
        <f>Site6!I156</f>
        <v>0</v>
      </c>
      <c r="CI136" s="6">
        <f>Site6!J156</f>
        <v>0</v>
      </c>
      <c r="CJ136" s="6">
        <f>Site6!K156</f>
        <v>0</v>
      </c>
      <c r="CK136" s="6">
        <f>Site6!L156</f>
        <v>0</v>
      </c>
      <c r="CL136" s="6">
        <f>Site6!M156</f>
        <v>0</v>
      </c>
      <c r="CM136" s="6">
        <f>Site6!N156</f>
        <v>0</v>
      </c>
      <c r="CN136" s="6">
        <f>Site6!O156</f>
        <v>0</v>
      </c>
      <c r="CO136" s="6">
        <f>Site6!P156</f>
        <v>0</v>
      </c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1:107" s="31" customFormat="1" hidden="1" outlineLevel="1" x14ac:dyDescent="0.25">
      <c r="A137" s="100">
        <v>6651</v>
      </c>
      <c r="B137" s="18" t="s">
        <v>472</v>
      </c>
      <c r="D137" s="154">
        <f t="shared" si="22"/>
        <v>9000</v>
      </c>
      <c r="E137" s="154">
        <f t="shared" si="23"/>
        <v>0</v>
      </c>
      <c r="F137" s="154">
        <f t="shared" si="24"/>
        <v>0</v>
      </c>
      <c r="G137" s="154">
        <f t="shared" si="25"/>
        <v>0</v>
      </c>
      <c r="H137" s="154">
        <f t="shared" si="26"/>
        <v>0</v>
      </c>
      <c r="I137" s="154">
        <f t="shared" si="27"/>
        <v>0</v>
      </c>
      <c r="J137" s="154">
        <f t="shared" si="28"/>
        <v>0</v>
      </c>
      <c r="K137" s="154">
        <f t="shared" si="29"/>
        <v>0</v>
      </c>
      <c r="L137" s="154">
        <f t="shared" si="30"/>
        <v>0</v>
      </c>
      <c r="M137" s="154">
        <f t="shared" si="31"/>
        <v>0</v>
      </c>
      <c r="N137" s="154">
        <f t="shared" si="32"/>
        <v>0</v>
      </c>
      <c r="O137" s="154">
        <f t="shared" si="33"/>
        <v>0</v>
      </c>
      <c r="Q137" s="6">
        <f>Site1!E157</f>
        <v>0</v>
      </c>
      <c r="R137" s="6">
        <f>Site1!F157</f>
        <v>0</v>
      </c>
      <c r="S137" s="6">
        <f>Site1!G157</f>
        <v>0</v>
      </c>
      <c r="T137" s="6">
        <f>Site1!H157</f>
        <v>0</v>
      </c>
      <c r="U137" s="6">
        <f>Site1!I157</f>
        <v>0</v>
      </c>
      <c r="V137" s="6">
        <f>Site1!J157</f>
        <v>0</v>
      </c>
      <c r="W137" s="6">
        <f>Site1!K157</f>
        <v>0</v>
      </c>
      <c r="X137" s="6">
        <f>Site1!L157</f>
        <v>0</v>
      </c>
      <c r="Y137" s="6">
        <f>Site1!M157</f>
        <v>0</v>
      </c>
      <c r="Z137" s="6">
        <f>Site1!N157</f>
        <v>0</v>
      </c>
      <c r="AA137" s="6">
        <f>Site1!O157</f>
        <v>0</v>
      </c>
      <c r="AB137" s="6">
        <f>Site1!P157</f>
        <v>0</v>
      </c>
      <c r="AD137" s="6">
        <f>Site2!E157</f>
        <v>0</v>
      </c>
      <c r="AE137" s="6">
        <f>Site2!F157</f>
        <v>0</v>
      </c>
      <c r="AF137" s="6">
        <f>Site2!G157</f>
        <v>0</v>
      </c>
      <c r="AG137" s="6">
        <f>Site2!H157</f>
        <v>0</v>
      </c>
      <c r="AH137" s="6">
        <f>Site2!I157</f>
        <v>0</v>
      </c>
      <c r="AI137" s="6">
        <f>Site2!J157</f>
        <v>0</v>
      </c>
      <c r="AJ137" s="6">
        <f>Site2!K157</f>
        <v>0</v>
      </c>
      <c r="AK137" s="6">
        <f>Site2!L157</f>
        <v>0</v>
      </c>
      <c r="AL137" s="6">
        <f>Site2!M157</f>
        <v>0</v>
      </c>
      <c r="AM137" s="6">
        <f>Site2!N157</f>
        <v>0</v>
      </c>
      <c r="AN137" s="6">
        <f>Site2!O157</f>
        <v>0</v>
      </c>
      <c r="AO137" s="6">
        <f>Site2!P157</f>
        <v>0</v>
      </c>
      <c r="AQ137" s="6">
        <f>Site3!E157</f>
        <v>0</v>
      </c>
      <c r="AR137" s="6">
        <f>Site3!F157</f>
        <v>0</v>
      </c>
      <c r="AS137" s="6">
        <f>Site3!G157</f>
        <v>0</v>
      </c>
      <c r="AT137" s="6">
        <f>Site3!H157</f>
        <v>0</v>
      </c>
      <c r="AU137" s="6">
        <f>Site3!I157</f>
        <v>0</v>
      </c>
      <c r="AV137" s="6">
        <f>Site3!J157</f>
        <v>0</v>
      </c>
      <c r="AW137" s="6">
        <f>Site3!K157</f>
        <v>0</v>
      </c>
      <c r="AX137" s="6">
        <f>Site3!L157</f>
        <v>0</v>
      </c>
      <c r="AY137" s="6">
        <f>Site3!M157</f>
        <v>0</v>
      </c>
      <c r="AZ137" s="6">
        <f>Site3!N157</f>
        <v>0</v>
      </c>
      <c r="BA137" s="6">
        <f>Site3!O157</f>
        <v>0</v>
      </c>
      <c r="BB137" s="6">
        <f>Site3!P157</f>
        <v>0</v>
      </c>
      <c r="BD137" s="6">
        <f>Site4!E157</f>
        <v>0</v>
      </c>
      <c r="BE137" s="6">
        <f>Site4!F157</f>
        <v>0</v>
      </c>
      <c r="BF137" s="6">
        <f>Site4!G157</f>
        <v>0</v>
      </c>
      <c r="BG137" s="6">
        <f>Site4!H157</f>
        <v>0</v>
      </c>
      <c r="BH137" s="6">
        <f>Site4!I157</f>
        <v>0</v>
      </c>
      <c r="BI137" s="6">
        <f>Site4!J157</f>
        <v>0</v>
      </c>
      <c r="BJ137" s="6">
        <f>Site4!K157</f>
        <v>0</v>
      </c>
      <c r="BK137" s="6">
        <f>Site4!L157</f>
        <v>0</v>
      </c>
      <c r="BL137" s="6">
        <f>Site4!M157</f>
        <v>0</v>
      </c>
      <c r="BM137" s="6">
        <f>Site4!N157</f>
        <v>0</v>
      </c>
      <c r="BN137" s="6">
        <f>Site4!O157</f>
        <v>0</v>
      </c>
      <c r="BO137" s="6">
        <f>Site4!P157</f>
        <v>0</v>
      </c>
      <c r="BQ137" s="6">
        <f>Site5!E157</f>
        <v>9000</v>
      </c>
      <c r="BR137" s="6">
        <f>Site5!F157</f>
        <v>0</v>
      </c>
      <c r="BS137" s="6">
        <f>Site5!G157</f>
        <v>0</v>
      </c>
      <c r="BT137" s="6">
        <f>Site5!H157</f>
        <v>0</v>
      </c>
      <c r="BU137" s="6">
        <f>Site5!I157</f>
        <v>0</v>
      </c>
      <c r="BV137" s="6">
        <f>Site5!J157</f>
        <v>0</v>
      </c>
      <c r="BW137" s="6">
        <f>Site5!K157</f>
        <v>0</v>
      </c>
      <c r="BX137" s="6">
        <f>Site5!L157</f>
        <v>0</v>
      </c>
      <c r="BY137" s="6">
        <f>Site5!M157</f>
        <v>0</v>
      </c>
      <c r="BZ137" s="6">
        <f>Site5!N157</f>
        <v>0</v>
      </c>
      <c r="CA137" s="6">
        <f>Site5!O157</f>
        <v>0</v>
      </c>
      <c r="CB137" s="6">
        <f>Site5!P157</f>
        <v>0</v>
      </c>
      <c r="CD137" s="6">
        <f>Site6!E157</f>
        <v>0</v>
      </c>
      <c r="CE137" s="6">
        <f>Site6!F157</f>
        <v>0</v>
      </c>
      <c r="CF137" s="6">
        <f>Site6!G157</f>
        <v>0</v>
      </c>
      <c r="CG137" s="6">
        <f>Site6!H157</f>
        <v>0</v>
      </c>
      <c r="CH137" s="6">
        <f>Site6!I157</f>
        <v>0</v>
      </c>
      <c r="CI137" s="6">
        <f>Site6!J157</f>
        <v>0</v>
      </c>
      <c r="CJ137" s="6">
        <f>Site6!K157</f>
        <v>0</v>
      </c>
      <c r="CK137" s="6">
        <f>Site6!L157</f>
        <v>0</v>
      </c>
      <c r="CL137" s="6">
        <f>Site6!M157</f>
        <v>0</v>
      </c>
      <c r="CM137" s="6">
        <f>Site6!N157</f>
        <v>0</v>
      </c>
      <c r="CN137" s="6">
        <f>Site6!O157</f>
        <v>0</v>
      </c>
      <c r="CO137" s="6">
        <f>Site6!P157</f>
        <v>0</v>
      </c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s="31" customFormat="1" hidden="1" outlineLevel="1" x14ac:dyDescent="0.25">
      <c r="A138" s="100">
        <v>6651</v>
      </c>
      <c r="B138" s="18" t="s">
        <v>766</v>
      </c>
      <c r="D138" s="154">
        <f t="shared" si="22"/>
        <v>3000</v>
      </c>
      <c r="E138" s="154">
        <f t="shared" si="23"/>
        <v>0</v>
      </c>
      <c r="F138" s="154">
        <f t="shared" si="24"/>
        <v>0</v>
      </c>
      <c r="G138" s="154">
        <f t="shared" si="25"/>
        <v>0</v>
      </c>
      <c r="H138" s="154">
        <f t="shared" si="26"/>
        <v>0</v>
      </c>
      <c r="I138" s="154">
        <f t="shared" si="27"/>
        <v>0</v>
      </c>
      <c r="J138" s="154">
        <f t="shared" si="28"/>
        <v>0</v>
      </c>
      <c r="K138" s="154">
        <f t="shared" si="29"/>
        <v>0</v>
      </c>
      <c r="L138" s="154">
        <f t="shared" si="30"/>
        <v>0</v>
      </c>
      <c r="M138" s="154">
        <f t="shared" si="31"/>
        <v>0</v>
      </c>
      <c r="N138" s="154">
        <f t="shared" si="32"/>
        <v>0</v>
      </c>
      <c r="O138" s="154">
        <f t="shared" si="33"/>
        <v>0</v>
      </c>
      <c r="Q138" s="6">
        <f>Site1!E158</f>
        <v>0</v>
      </c>
      <c r="R138" s="6">
        <f>Site1!F158</f>
        <v>0</v>
      </c>
      <c r="S138" s="6">
        <f>Site1!G158</f>
        <v>0</v>
      </c>
      <c r="T138" s="6">
        <f>Site1!H158</f>
        <v>0</v>
      </c>
      <c r="U138" s="6">
        <f>Site1!I158</f>
        <v>0</v>
      </c>
      <c r="V138" s="6">
        <f>Site1!J158</f>
        <v>0</v>
      </c>
      <c r="W138" s="6">
        <f>Site1!K158</f>
        <v>0</v>
      </c>
      <c r="X138" s="6">
        <f>Site1!L158</f>
        <v>0</v>
      </c>
      <c r="Y138" s="6">
        <f>Site1!M158</f>
        <v>0</v>
      </c>
      <c r="Z138" s="6">
        <f>Site1!N158</f>
        <v>0</v>
      </c>
      <c r="AA138" s="6">
        <f>Site1!O158</f>
        <v>0</v>
      </c>
      <c r="AB138" s="6">
        <f>Site1!P158</f>
        <v>0</v>
      </c>
      <c r="AD138" s="6">
        <f>Site2!E158</f>
        <v>0</v>
      </c>
      <c r="AE138" s="6">
        <f>Site2!F158</f>
        <v>0</v>
      </c>
      <c r="AF138" s="6">
        <f>Site2!G158</f>
        <v>0</v>
      </c>
      <c r="AG138" s="6">
        <f>Site2!H158</f>
        <v>0</v>
      </c>
      <c r="AH138" s="6">
        <f>Site2!I158</f>
        <v>0</v>
      </c>
      <c r="AI138" s="6">
        <f>Site2!J158</f>
        <v>0</v>
      </c>
      <c r="AJ138" s="6">
        <f>Site2!K158</f>
        <v>0</v>
      </c>
      <c r="AK138" s="6">
        <f>Site2!L158</f>
        <v>0</v>
      </c>
      <c r="AL138" s="6">
        <f>Site2!M158</f>
        <v>0</v>
      </c>
      <c r="AM138" s="6">
        <f>Site2!N158</f>
        <v>0</v>
      </c>
      <c r="AN138" s="6">
        <f>Site2!O158</f>
        <v>0</v>
      </c>
      <c r="AO138" s="6">
        <f>Site2!P158</f>
        <v>0</v>
      </c>
      <c r="AQ138" s="6">
        <f>Site3!E158</f>
        <v>0</v>
      </c>
      <c r="AR138" s="6">
        <f>Site3!F158</f>
        <v>0</v>
      </c>
      <c r="AS138" s="6">
        <f>Site3!G158</f>
        <v>0</v>
      </c>
      <c r="AT138" s="6">
        <f>Site3!H158</f>
        <v>0</v>
      </c>
      <c r="AU138" s="6">
        <f>Site3!I158</f>
        <v>0</v>
      </c>
      <c r="AV138" s="6">
        <f>Site3!J158</f>
        <v>0</v>
      </c>
      <c r="AW138" s="6">
        <f>Site3!K158</f>
        <v>0</v>
      </c>
      <c r="AX138" s="6">
        <f>Site3!L158</f>
        <v>0</v>
      </c>
      <c r="AY138" s="6">
        <f>Site3!M158</f>
        <v>0</v>
      </c>
      <c r="AZ138" s="6">
        <f>Site3!N158</f>
        <v>0</v>
      </c>
      <c r="BA138" s="6">
        <f>Site3!O158</f>
        <v>0</v>
      </c>
      <c r="BB138" s="6">
        <f>Site3!P158</f>
        <v>0</v>
      </c>
      <c r="BD138" s="6">
        <f>Site4!E158</f>
        <v>0</v>
      </c>
      <c r="BE138" s="6">
        <f>Site4!F158</f>
        <v>0</v>
      </c>
      <c r="BF138" s="6">
        <f>Site4!G158</f>
        <v>0</v>
      </c>
      <c r="BG138" s="6">
        <f>Site4!H158</f>
        <v>0</v>
      </c>
      <c r="BH138" s="6">
        <f>Site4!I158</f>
        <v>0</v>
      </c>
      <c r="BI138" s="6">
        <f>Site4!J158</f>
        <v>0</v>
      </c>
      <c r="BJ138" s="6">
        <f>Site4!K158</f>
        <v>0</v>
      </c>
      <c r="BK138" s="6">
        <f>Site4!L158</f>
        <v>0</v>
      </c>
      <c r="BL138" s="6">
        <f>Site4!M158</f>
        <v>0</v>
      </c>
      <c r="BM138" s="6">
        <f>Site4!N158</f>
        <v>0</v>
      </c>
      <c r="BN138" s="6">
        <f>Site4!O158</f>
        <v>0</v>
      </c>
      <c r="BO138" s="6">
        <f>Site4!P158</f>
        <v>0</v>
      </c>
      <c r="BQ138" s="6">
        <f>Site5!E158</f>
        <v>3000</v>
      </c>
      <c r="BR138" s="6">
        <f>Site5!F158</f>
        <v>0</v>
      </c>
      <c r="BS138" s="6">
        <f>Site5!G158</f>
        <v>0</v>
      </c>
      <c r="BT138" s="6">
        <f>Site5!H158</f>
        <v>0</v>
      </c>
      <c r="BU138" s="6">
        <f>Site5!I158</f>
        <v>0</v>
      </c>
      <c r="BV138" s="6">
        <f>Site5!J158</f>
        <v>0</v>
      </c>
      <c r="BW138" s="6">
        <f>Site5!K158</f>
        <v>0</v>
      </c>
      <c r="BX138" s="6">
        <f>Site5!L158</f>
        <v>0</v>
      </c>
      <c r="BY138" s="6">
        <f>Site5!M158</f>
        <v>0</v>
      </c>
      <c r="BZ138" s="6">
        <f>Site5!N158</f>
        <v>0</v>
      </c>
      <c r="CA138" s="6">
        <f>Site5!O158</f>
        <v>0</v>
      </c>
      <c r="CB138" s="6">
        <f>Site5!P158</f>
        <v>0</v>
      </c>
      <c r="CD138" s="6">
        <f>Site6!E158</f>
        <v>0</v>
      </c>
      <c r="CE138" s="6">
        <f>Site6!F158</f>
        <v>0</v>
      </c>
      <c r="CF138" s="6">
        <f>Site6!G158</f>
        <v>0</v>
      </c>
      <c r="CG138" s="6">
        <f>Site6!H158</f>
        <v>0</v>
      </c>
      <c r="CH138" s="6">
        <f>Site6!I158</f>
        <v>0</v>
      </c>
      <c r="CI138" s="6">
        <f>Site6!J158</f>
        <v>0</v>
      </c>
      <c r="CJ138" s="6">
        <f>Site6!K158</f>
        <v>0</v>
      </c>
      <c r="CK138" s="6">
        <f>Site6!L158</f>
        <v>0</v>
      </c>
      <c r="CL138" s="6">
        <f>Site6!M158</f>
        <v>0</v>
      </c>
      <c r="CM138" s="6">
        <f>Site6!N158</f>
        <v>0</v>
      </c>
      <c r="CN138" s="6">
        <f>Site6!O158</f>
        <v>0</v>
      </c>
      <c r="CO138" s="6">
        <f>Site6!P158</f>
        <v>0</v>
      </c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s="31" customFormat="1" hidden="1" outlineLevel="1" x14ac:dyDescent="0.25">
      <c r="A139" s="100">
        <v>6651</v>
      </c>
      <c r="B139" s="18" t="s">
        <v>767</v>
      </c>
      <c r="D139" s="154">
        <f t="shared" si="22"/>
        <v>0</v>
      </c>
      <c r="E139" s="154">
        <f t="shared" si="23"/>
        <v>0</v>
      </c>
      <c r="F139" s="154">
        <f t="shared" si="24"/>
        <v>0</v>
      </c>
      <c r="G139" s="154">
        <f t="shared" si="25"/>
        <v>0</v>
      </c>
      <c r="H139" s="154">
        <f t="shared" si="26"/>
        <v>0</v>
      </c>
      <c r="I139" s="154">
        <f t="shared" si="27"/>
        <v>0</v>
      </c>
      <c r="J139" s="154">
        <f t="shared" si="28"/>
        <v>0</v>
      </c>
      <c r="K139" s="154">
        <f t="shared" si="29"/>
        <v>0</v>
      </c>
      <c r="L139" s="154">
        <f t="shared" si="30"/>
        <v>0</v>
      </c>
      <c r="M139" s="154">
        <f t="shared" si="31"/>
        <v>0</v>
      </c>
      <c r="N139" s="154">
        <f t="shared" si="32"/>
        <v>0</v>
      </c>
      <c r="O139" s="154">
        <f t="shared" si="33"/>
        <v>0</v>
      </c>
      <c r="Q139" s="6">
        <f>Site1!E159</f>
        <v>0</v>
      </c>
      <c r="R139" s="6">
        <f>Site1!F159</f>
        <v>0</v>
      </c>
      <c r="S139" s="6">
        <f>Site1!G159</f>
        <v>0</v>
      </c>
      <c r="T139" s="6">
        <f>Site1!H159</f>
        <v>0</v>
      </c>
      <c r="U139" s="6">
        <f>Site1!I159</f>
        <v>0</v>
      </c>
      <c r="V139" s="6">
        <f>Site1!J159</f>
        <v>0</v>
      </c>
      <c r="W139" s="6">
        <f>Site1!K159</f>
        <v>0</v>
      </c>
      <c r="X139" s="6">
        <f>Site1!L159</f>
        <v>0</v>
      </c>
      <c r="Y139" s="6">
        <f>Site1!M159</f>
        <v>0</v>
      </c>
      <c r="Z139" s="6">
        <f>Site1!N159</f>
        <v>0</v>
      </c>
      <c r="AA139" s="6">
        <f>Site1!O159</f>
        <v>0</v>
      </c>
      <c r="AB139" s="6">
        <f>Site1!P159</f>
        <v>0</v>
      </c>
      <c r="AD139" s="6">
        <f>Site2!E159</f>
        <v>0</v>
      </c>
      <c r="AE139" s="6">
        <f>Site2!F159</f>
        <v>0</v>
      </c>
      <c r="AF139" s="6">
        <f>Site2!G159</f>
        <v>0</v>
      </c>
      <c r="AG139" s="6">
        <f>Site2!H159</f>
        <v>0</v>
      </c>
      <c r="AH139" s="6">
        <f>Site2!I159</f>
        <v>0</v>
      </c>
      <c r="AI139" s="6">
        <f>Site2!J159</f>
        <v>0</v>
      </c>
      <c r="AJ139" s="6">
        <f>Site2!K159</f>
        <v>0</v>
      </c>
      <c r="AK139" s="6">
        <f>Site2!L159</f>
        <v>0</v>
      </c>
      <c r="AL139" s="6">
        <f>Site2!M159</f>
        <v>0</v>
      </c>
      <c r="AM139" s="6">
        <f>Site2!N159</f>
        <v>0</v>
      </c>
      <c r="AN139" s="6">
        <f>Site2!O159</f>
        <v>0</v>
      </c>
      <c r="AO139" s="6">
        <f>Site2!P159</f>
        <v>0</v>
      </c>
      <c r="AQ139" s="6">
        <f>Site3!E159</f>
        <v>0</v>
      </c>
      <c r="AR139" s="6">
        <f>Site3!F159</f>
        <v>0</v>
      </c>
      <c r="AS139" s="6">
        <f>Site3!G159</f>
        <v>0</v>
      </c>
      <c r="AT139" s="6">
        <f>Site3!H159</f>
        <v>0</v>
      </c>
      <c r="AU139" s="6">
        <f>Site3!I159</f>
        <v>0</v>
      </c>
      <c r="AV139" s="6">
        <f>Site3!J159</f>
        <v>0</v>
      </c>
      <c r="AW139" s="6">
        <f>Site3!K159</f>
        <v>0</v>
      </c>
      <c r="AX139" s="6">
        <f>Site3!L159</f>
        <v>0</v>
      </c>
      <c r="AY139" s="6">
        <f>Site3!M159</f>
        <v>0</v>
      </c>
      <c r="AZ139" s="6">
        <f>Site3!N159</f>
        <v>0</v>
      </c>
      <c r="BA139" s="6">
        <f>Site3!O159</f>
        <v>0</v>
      </c>
      <c r="BB139" s="6">
        <f>Site3!P159</f>
        <v>0</v>
      </c>
      <c r="BD139" s="6">
        <f>Site4!E159</f>
        <v>0</v>
      </c>
      <c r="BE139" s="6">
        <f>Site4!F159</f>
        <v>0</v>
      </c>
      <c r="BF139" s="6">
        <f>Site4!G159</f>
        <v>0</v>
      </c>
      <c r="BG139" s="6">
        <f>Site4!H159</f>
        <v>0</v>
      </c>
      <c r="BH139" s="6">
        <f>Site4!I159</f>
        <v>0</v>
      </c>
      <c r="BI139" s="6">
        <f>Site4!J159</f>
        <v>0</v>
      </c>
      <c r="BJ139" s="6">
        <f>Site4!K159</f>
        <v>0</v>
      </c>
      <c r="BK139" s="6">
        <f>Site4!L159</f>
        <v>0</v>
      </c>
      <c r="BL139" s="6">
        <f>Site4!M159</f>
        <v>0</v>
      </c>
      <c r="BM139" s="6">
        <f>Site4!N159</f>
        <v>0</v>
      </c>
      <c r="BN139" s="6">
        <f>Site4!O159</f>
        <v>0</v>
      </c>
      <c r="BO139" s="6">
        <f>Site4!P159</f>
        <v>0</v>
      </c>
      <c r="BQ139" s="6">
        <f>Site5!E159</f>
        <v>0</v>
      </c>
      <c r="BR139" s="6">
        <f>Site5!F159</f>
        <v>0</v>
      </c>
      <c r="BS139" s="6">
        <f>Site5!G159</f>
        <v>0</v>
      </c>
      <c r="BT139" s="6">
        <f>Site5!H159</f>
        <v>0</v>
      </c>
      <c r="BU139" s="6">
        <f>Site5!I159</f>
        <v>0</v>
      </c>
      <c r="BV139" s="6">
        <f>Site5!J159</f>
        <v>0</v>
      </c>
      <c r="BW139" s="6">
        <f>Site5!K159</f>
        <v>0</v>
      </c>
      <c r="BX139" s="6">
        <f>Site5!L159</f>
        <v>0</v>
      </c>
      <c r="BY139" s="6">
        <f>Site5!M159</f>
        <v>0</v>
      </c>
      <c r="BZ139" s="6">
        <f>Site5!N159</f>
        <v>0</v>
      </c>
      <c r="CA139" s="6">
        <f>Site5!O159</f>
        <v>0</v>
      </c>
      <c r="CB139" s="6">
        <f>Site5!P159</f>
        <v>0</v>
      </c>
      <c r="CD139" s="6">
        <f>Site6!E159</f>
        <v>0</v>
      </c>
      <c r="CE139" s="6">
        <f>Site6!F159</f>
        <v>0</v>
      </c>
      <c r="CF139" s="6">
        <f>Site6!G159</f>
        <v>0</v>
      </c>
      <c r="CG139" s="6">
        <f>Site6!H159</f>
        <v>0</v>
      </c>
      <c r="CH139" s="6">
        <f>Site6!I159</f>
        <v>0</v>
      </c>
      <c r="CI139" s="6">
        <f>Site6!J159</f>
        <v>0</v>
      </c>
      <c r="CJ139" s="6">
        <f>Site6!K159</f>
        <v>0</v>
      </c>
      <c r="CK139" s="6">
        <f>Site6!L159</f>
        <v>0</v>
      </c>
      <c r="CL139" s="6">
        <f>Site6!M159</f>
        <v>0</v>
      </c>
      <c r="CM139" s="6">
        <f>Site6!N159</f>
        <v>0</v>
      </c>
      <c r="CN139" s="6">
        <f>Site6!O159</f>
        <v>0</v>
      </c>
      <c r="CO139" s="6">
        <f>Site6!P159</f>
        <v>0</v>
      </c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1:107" s="269" customFormat="1" collapsed="1" x14ac:dyDescent="0.25">
      <c r="A140" s="101">
        <v>651</v>
      </c>
      <c r="B140" s="274" t="s">
        <v>469</v>
      </c>
      <c r="D140" s="260">
        <f t="shared" si="22"/>
        <v>12000</v>
      </c>
      <c r="E140" s="260">
        <f t="shared" si="23"/>
        <v>0</v>
      </c>
      <c r="F140" s="260">
        <f t="shared" si="24"/>
        <v>0</v>
      </c>
      <c r="G140" s="260">
        <f t="shared" si="25"/>
        <v>0</v>
      </c>
      <c r="H140" s="260">
        <f t="shared" si="26"/>
        <v>0</v>
      </c>
      <c r="I140" s="260">
        <f t="shared" si="27"/>
        <v>0</v>
      </c>
      <c r="J140" s="260">
        <f t="shared" si="28"/>
        <v>0</v>
      </c>
      <c r="K140" s="260">
        <f t="shared" si="29"/>
        <v>0</v>
      </c>
      <c r="L140" s="260">
        <f t="shared" si="30"/>
        <v>0</v>
      </c>
      <c r="M140" s="260">
        <f t="shared" si="31"/>
        <v>0</v>
      </c>
      <c r="N140" s="260">
        <f t="shared" si="32"/>
        <v>0</v>
      </c>
      <c r="O140" s="260">
        <f t="shared" si="33"/>
        <v>0</v>
      </c>
      <c r="Q140" s="261">
        <f>Site1!E160</f>
        <v>0</v>
      </c>
      <c r="R140" s="261">
        <f>Site1!F160</f>
        <v>0</v>
      </c>
      <c r="S140" s="261">
        <f>Site1!G160</f>
        <v>0</v>
      </c>
      <c r="T140" s="261">
        <f>Site1!H160</f>
        <v>0</v>
      </c>
      <c r="U140" s="261">
        <f>Site1!I160</f>
        <v>0</v>
      </c>
      <c r="V140" s="261">
        <f>Site1!J160</f>
        <v>0</v>
      </c>
      <c r="W140" s="261">
        <f>Site1!K160</f>
        <v>0</v>
      </c>
      <c r="X140" s="261">
        <f>Site1!L160</f>
        <v>0</v>
      </c>
      <c r="Y140" s="261">
        <f>Site1!M160</f>
        <v>0</v>
      </c>
      <c r="Z140" s="261">
        <f>Site1!N160</f>
        <v>0</v>
      </c>
      <c r="AA140" s="261">
        <f>Site1!O160</f>
        <v>0</v>
      </c>
      <c r="AB140" s="261">
        <f>Site1!P160</f>
        <v>0</v>
      </c>
      <c r="AD140" s="261">
        <f>Site2!E160</f>
        <v>0</v>
      </c>
      <c r="AE140" s="261">
        <f>Site2!F160</f>
        <v>0</v>
      </c>
      <c r="AF140" s="261">
        <f>Site2!G160</f>
        <v>0</v>
      </c>
      <c r="AG140" s="261">
        <f>Site2!H160</f>
        <v>0</v>
      </c>
      <c r="AH140" s="261">
        <f>Site2!I160</f>
        <v>0</v>
      </c>
      <c r="AI140" s="261">
        <f>Site2!J160</f>
        <v>0</v>
      </c>
      <c r="AJ140" s="261">
        <f>Site2!K160</f>
        <v>0</v>
      </c>
      <c r="AK140" s="261">
        <f>Site2!L160</f>
        <v>0</v>
      </c>
      <c r="AL140" s="261">
        <f>Site2!M160</f>
        <v>0</v>
      </c>
      <c r="AM140" s="261">
        <f>Site2!N160</f>
        <v>0</v>
      </c>
      <c r="AN140" s="261">
        <f>Site2!O160</f>
        <v>0</v>
      </c>
      <c r="AO140" s="261">
        <f>Site2!P160</f>
        <v>0</v>
      </c>
      <c r="AQ140" s="261">
        <f>Site3!E160</f>
        <v>0</v>
      </c>
      <c r="AR140" s="261">
        <f>Site3!F160</f>
        <v>0</v>
      </c>
      <c r="AS140" s="261">
        <f>Site3!G160</f>
        <v>0</v>
      </c>
      <c r="AT140" s="261">
        <f>Site3!H160</f>
        <v>0</v>
      </c>
      <c r="AU140" s="261">
        <f>Site3!I160</f>
        <v>0</v>
      </c>
      <c r="AV140" s="261">
        <f>Site3!J160</f>
        <v>0</v>
      </c>
      <c r="AW140" s="261">
        <f>Site3!K160</f>
        <v>0</v>
      </c>
      <c r="AX140" s="261">
        <f>Site3!L160</f>
        <v>0</v>
      </c>
      <c r="AY140" s="261">
        <f>Site3!M160</f>
        <v>0</v>
      </c>
      <c r="AZ140" s="261">
        <f>Site3!N160</f>
        <v>0</v>
      </c>
      <c r="BA140" s="261">
        <f>Site3!O160</f>
        <v>0</v>
      </c>
      <c r="BB140" s="261">
        <f>Site3!P160</f>
        <v>0</v>
      </c>
      <c r="BD140" s="261">
        <f>Site4!E160</f>
        <v>0</v>
      </c>
      <c r="BE140" s="261">
        <f>Site4!F160</f>
        <v>0</v>
      </c>
      <c r="BF140" s="261">
        <f>Site4!G160</f>
        <v>0</v>
      </c>
      <c r="BG140" s="261">
        <f>Site4!H160</f>
        <v>0</v>
      </c>
      <c r="BH140" s="261">
        <f>Site4!I160</f>
        <v>0</v>
      </c>
      <c r="BI140" s="261">
        <f>Site4!J160</f>
        <v>0</v>
      </c>
      <c r="BJ140" s="261">
        <f>Site4!K160</f>
        <v>0</v>
      </c>
      <c r="BK140" s="261">
        <f>Site4!L160</f>
        <v>0</v>
      </c>
      <c r="BL140" s="261">
        <f>Site4!M160</f>
        <v>0</v>
      </c>
      <c r="BM140" s="261">
        <f>Site4!N160</f>
        <v>0</v>
      </c>
      <c r="BN140" s="261">
        <f>Site4!O160</f>
        <v>0</v>
      </c>
      <c r="BO140" s="261">
        <f>Site4!P160</f>
        <v>0</v>
      </c>
      <c r="BQ140" s="261">
        <f>Site5!E160</f>
        <v>12000</v>
      </c>
      <c r="BR140" s="261">
        <f>Site5!F160</f>
        <v>0</v>
      </c>
      <c r="BS140" s="261">
        <f>Site5!G160</f>
        <v>0</v>
      </c>
      <c r="BT140" s="261">
        <f>Site5!H160</f>
        <v>0</v>
      </c>
      <c r="BU140" s="261">
        <f>Site5!I160</f>
        <v>0</v>
      </c>
      <c r="BV140" s="261">
        <f>Site5!J160</f>
        <v>0</v>
      </c>
      <c r="BW140" s="261">
        <f>Site5!K160</f>
        <v>0</v>
      </c>
      <c r="BX140" s="261">
        <f>Site5!L160</f>
        <v>0</v>
      </c>
      <c r="BY140" s="261">
        <f>Site5!M160</f>
        <v>0</v>
      </c>
      <c r="BZ140" s="261">
        <f>Site5!N160</f>
        <v>0</v>
      </c>
      <c r="CA140" s="261">
        <f>Site5!O160</f>
        <v>0</v>
      </c>
      <c r="CB140" s="261">
        <f>Site5!P160</f>
        <v>0</v>
      </c>
      <c r="CD140" s="261">
        <f>Site6!E160</f>
        <v>0</v>
      </c>
      <c r="CE140" s="261">
        <f>Site6!F160</f>
        <v>0</v>
      </c>
      <c r="CF140" s="261">
        <f>Site6!G160</f>
        <v>0</v>
      </c>
      <c r="CG140" s="261">
        <f>Site6!H160</f>
        <v>0</v>
      </c>
      <c r="CH140" s="261">
        <f>Site6!I160</f>
        <v>0</v>
      </c>
      <c r="CI140" s="261">
        <f>Site6!J160</f>
        <v>0</v>
      </c>
      <c r="CJ140" s="261">
        <f>Site6!K160</f>
        <v>0</v>
      </c>
      <c r="CK140" s="261">
        <f>Site6!L160</f>
        <v>0</v>
      </c>
      <c r="CL140" s="261">
        <f>Site6!M160</f>
        <v>0</v>
      </c>
      <c r="CM140" s="261">
        <f>Site6!N160</f>
        <v>0</v>
      </c>
      <c r="CN140" s="261">
        <f>Site6!O160</f>
        <v>0</v>
      </c>
      <c r="CO140" s="261">
        <f>Site6!P160</f>
        <v>0</v>
      </c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</row>
    <row r="141" spans="1:107" s="31" customFormat="1" hidden="1" outlineLevel="1" x14ac:dyDescent="0.25">
      <c r="A141" s="100">
        <v>6730</v>
      </c>
      <c r="B141" s="18" t="s">
        <v>499</v>
      </c>
      <c r="D141" s="154">
        <f t="shared" si="22"/>
        <v>28000</v>
      </c>
      <c r="E141" s="154">
        <f t="shared" si="23"/>
        <v>37500</v>
      </c>
      <c r="F141" s="154">
        <f t="shared" si="24"/>
        <v>4500</v>
      </c>
      <c r="G141" s="154">
        <f t="shared" si="25"/>
        <v>0</v>
      </c>
      <c r="H141" s="154">
        <f t="shared" si="26"/>
        <v>6500</v>
      </c>
      <c r="I141" s="154">
        <f t="shared" si="27"/>
        <v>43000</v>
      </c>
      <c r="J141" s="154">
        <f t="shared" si="28"/>
        <v>8500</v>
      </c>
      <c r="K141" s="154">
        <f t="shared" si="29"/>
        <v>0</v>
      </c>
      <c r="L141" s="154">
        <f t="shared" si="30"/>
        <v>8000</v>
      </c>
      <c r="M141" s="154">
        <f t="shared" si="31"/>
        <v>49000</v>
      </c>
      <c r="N141" s="154">
        <f t="shared" si="32"/>
        <v>10000</v>
      </c>
      <c r="O141" s="154">
        <f t="shared" si="33"/>
        <v>0</v>
      </c>
      <c r="Q141" s="6">
        <f>Site1!E161</f>
        <v>0</v>
      </c>
      <c r="R141" s="6">
        <f>Site1!F161</f>
        <v>15500</v>
      </c>
      <c r="S141" s="6">
        <f>Site1!G161</f>
        <v>0</v>
      </c>
      <c r="T141" s="6">
        <f>Site1!H161</f>
        <v>0</v>
      </c>
      <c r="U141" s="6">
        <f>Site1!I161</f>
        <v>0</v>
      </c>
      <c r="V141" s="6">
        <f>Site1!J161</f>
        <v>16500</v>
      </c>
      <c r="W141" s="6">
        <f>Site1!K161</f>
        <v>0</v>
      </c>
      <c r="X141" s="6">
        <f>Site1!L161</f>
        <v>0</v>
      </c>
      <c r="Y141" s="6">
        <f>Site1!M161</f>
        <v>0</v>
      </c>
      <c r="Z141" s="6">
        <f>Site1!N161</f>
        <v>18000</v>
      </c>
      <c r="AA141" s="6">
        <f>Site1!O161</f>
        <v>0</v>
      </c>
      <c r="AB141" s="6">
        <f>Site1!P161</f>
        <v>0</v>
      </c>
      <c r="AD141" s="6">
        <f>Site2!E161</f>
        <v>0</v>
      </c>
      <c r="AE141" s="6">
        <f>Site2!F161</f>
        <v>10000</v>
      </c>
      <c r="AF141" s="6">
        <f>Site2!G161</f>
        <v>0</v>
      </c>
      <c r="AG141" s="6">
        <f>Site2!H161</f>
        <v>0</v>
      </c>
      <c r="AH141" s="6">
        <f>Site2!I161</f>
        <v>0</v>
      </c>
      <c r="AI141" s="6">
        <f>Site2!J161</f>
        <v>11000</v>
      </c>
      <c r="AJ141" s="6">
        <f>Site2!K161</f>
        <v>0</v>
      </c>
      <c r="AK141" s="6">
        <f>Site2!L161</f>
        <v>0</v>
      </c>
      <c r="AL141" s="6">
        <f>Site2!M161</f>
        <v>0</v>
      </c>
      <c r="AM141" s="6">
        <f>Site2!N161</f>
        <v>12000</v>
      </c>
      <c r="AN141" s="6">
        <f>Site2!O161</f>
        <v>0</v>
      </c>
      <c r="AO141" s="6">
        <f>Site2!P161</f>
        <v>0</v>
      </c>
      <c r="AQ141" s="6">
        <f>Site3!E161</f>
        <v>0</v>
      </c>
      <c r="AR141" s="6">
        <f>Site3!F161</f>
        <v>5500</v>
      </c>
      <c r="AS141" s="6">
        <f>Site3!G161</f>
        <v>0</v>
      </c>
      <c r="AT141" s="6">
        <f>Site3!H161</f>
        <v>0</v>
      </c>
      <c r="AU141" s="6">
        <f>Site3!I161</f>
        <v>0</v>
      </c>
      <c r="AV141" s="6">
        <f>Site3!J161</f>
        <v>7000</v>
      </c>
      <c r="AW141" s="6">
        <f>Site3!K161</f>
        <v>0</v>
      </c>
      <c r="AX141" s="6">
        <f>Site3!L161</f>
        <v>0</v>
      </c>
      <c r="AY141" s="6">
        <f>Site3!M161</f>
        <v>0</v>
      </c>
      <c r="AZ141" s="6">
        <f>Site3!N161</f>
        <v>8500</v>
      </c>
      <c r="BA141" s="6">
        <f>Site3!O161</f>
        <v>0</v>
      </c>
      <c r="BB141" s="6">
        <f>Site3!P161</f>
        <v>0</v>
      </c>
      <c r="BD141" s="6">
        <f>Site4!E161</f>
        <v>0</v>
      </c>
      <c r="BE141" s="6">
        <f>Site4!F161</f>
        <v>6500</v>
      </c>
      <c r="BF141" s="6">
        <f>Site4!G161</f>
        <v>0</v>
      </c>
      <c r="BG141" s="6">
        <f>Site4!H161</f>
        <v>0</v>
      </c>
      <c r="BH141" s="6">
        <f>Site4!I161</f>
        <v>0</v>
      </c>
      <c r="BI141" s="6">
        <f>Site4!J161</f>
        <v>8500</v>
      </c>
      <c r="BJ141" s="6">
        <f>Site4!K161</f>
        <v>0</v>
      </c>
      <c r="BK141" s="6">
        <f>Site4!L161</f>
        <v>0</v>
      </c>
      <c r="BL141" s="6">
        <f>Site4!M161</f>
        <v>0</v>
      </c>
      <c r="BM141" s="6">
        <f>Site4!N161</f>
        <v>10500</v>
      </c>
      <c r="BN141" s="6">
        <f>Site4!O161</f>
        <v>0</v>
      </c>
      <c r="BO141" s="6">
        <f>Site4!P161</f>
        <v>0</v>
      </c>
      <c r="BQ141" s="6">
        <f>Site5!E161</f>
        <v>28000</v>
      </c>
      <c r="BR141" s="6">
        <f>Site5!F161</f>
        <v>0</v>
      </c>
      <c r="BS141" s="6">
        <f>Site5!G161</f>
        <v>0</v>
      </c>
      <c r="BT141" s="6">
        <f>Site5!H161</f>
        <v>0</v>
      </c>
      <c r="BU141" s="6">
        <f>Site5!I161</f>
        <v>6500</v>
      </c>
      <c r="BV141" s="6">
        <f>Site5!J161</f>
        <v>0</v>
      </c>
      <c r="BW141" s="6">
        <f>Site5!K161</f>
        <v>0</v>
      </c>
      <c r="BX141" s="6">
        <f>Site5!L161</f>
        <v>0</v>
      </c>
      <c r="BY141" s="6">
        <f>Site5!M161</f>
        <v>8000</v>
      </c>
      <c r="BZ141" s="6">
        <f>Site5!N161</f>
        <v>0</v>
      </c>
      <c r="CA141" s="6">
        <f>Site5!O161</f>
        <v>0</v>
      </c>
      <c r="CB141" s="6">
        <f>Site5!P161</f>
        <v>0</v>
      </c>
      <c r="CD141" s="6">
        <f>Site6!E161</f>
        <v>0</v>
      </c>
      <c r="CE141" s="6">
        <f>Site6!F161</f>
        <v>0</v>
      </c>
      <c r="CF141" s="6">
        <f>Site6!G161</f>
        <v>4500</v>
      </c>
      <c r="CG141" s="6">
        <f>Site6!H161</f>
        <v>0</v>
      </c>
      <c r="CH141" s="6">
        <f>Site6!I161</f>
        <v>0</v>
      </c>
      <c r="CI141" s="6">
        <f>Site6!J161</f>
        <v>0</v>
      </c>
      <c r="CJ141" s="6">
        <f>Site6!K161</f>
        <v>8500</v>
      </c>
      <c r="CK141" s="6">
        <f>Site6!L161</f>
        <v>0</v>
      </c>
      <c r="CL141" s="6">
        <f>Site6!M161</f>
        <v>0</v>
      </c>
      <c r="CM141" s="6">
        <f>Site6!N161</f>
        <v>0</v>
      </c>
      <c r="CN141" s="6">
        <f>Site6!O161</f>
        <v>10000</v>
      </c>
      <c r="CO141" s="6">
        <f>Site6!P161</f>
        <v>0</v>
      </c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1:107" s="31" customFormat="1" hidden="1" outlineLevel="1" x14ac:dyDescent="0.25">
      <c r="A142" s="100">
        <v>6730</v>
      </c>
      <c r="B142" s="18" t="s">
        <v>500</v>
      </c>
      <c r="D142" s="154">
        <f t="shared" si="22"/>
        <v>12000</v>
      </c>
      <c r="E142" s="154">
        <f t="shared" si="23"/>
        <v>0</v>
      </c>
      <c r="F142" s="154">
        <f t="shared" si="24"/>
        <v>0</v>
      </c>
      <c r="G142" s="154">
        <f t="shared" si="25"/>
        <v>0</v>
      </c>
      <c r="H142" s="154">
        <f t="shared" si="26"/>
        <v>20000</v>
      </c>
      <c r="I142" s="154">
        <f t="shared" si="27"/>
        <v>5000</v>
      </c>
      <c r="J142" s="154">
        <f t="shared" si="28"/>
        <v>5000</v>
      </c>
      <c r="K142" s="154">
        <f t="shared" si="29"/>
        <v>0</v>
      </c>
      <c r="L142" s="154">
        <f t="shared" si="30"/>
        <v>0</v>
      </c>
      <c r="M142" s="154">
        <f t="shared" si="31"/>
        <v>0</v>
      </c>
      <c r="N142" s="154">
        <f t="shared" si="32"/>
        <v>20000</v>
      </c>
      <c r="O142" s="154">
        <f t="shared" si="33"/>
        <v>0</v>
      </c>
      <c r="Q142" s="6">
        <f>Site1!E162</f>
        <v>0</v>
      </c>
      <c r="R142" s="6">
        <f>Site1!F162</f>
        <v>0</v>
      </c>
      <c r="S142" s="6">
        <f>Site1!G162</f>
        <v>0</v>
      </c>
      <c r="T142" s="6">
        <f>Site1!H162</f>
        <v>0</v>
      </c>
      <c r="U142" s="6">
        <f>Site1!I162</f>
        <v>5000</v>
      </c>
      <c r="V142" s="6">
        <f>Site1!J162</f>
        <v>0</v>
      </c>
      <c r="W142" s="6">
        <f>Site1!K162</f>
        <v>0</v>
      </c>
      <c r="X142" s="6">
        <f>Site1!L162</f>
        <v>0</v>
      </c>
      <c r="Y142" s="6">
        <f>Site1!M162</f>
        <v>0</v>
      </c>
      <c r="Z142" s="6">
        <f>Site1!N162</f>
        <v>0</v>
      </c>
      <c r="AA142" s="6">
        <f>Site1!O162</f>
        <v>5000</v>
      </c>
      <c r="AB142" s="6">
        <f>Site1!P162</f>
        <v>0</v>
      </c>
      <c r="AD142" s="6">
        <f>Site2!E162</f>
        <v>0</v>
      </c>
      <c r="AE142" s="6">
        <f>Site2!F162</f>
        <v>0</v>
      </c>
      <c r="AF142" s="6">
        <f>Site2!G162</f>
        <v>0</v>
      </c>
      <c r="AG142" s="6">
        <f>Site2!H162</f>
        <v>0</v>
      </c>
      <c r="AH142" s="6">
        <f>Site2!I162</f>
        <v>5000</v>
      </c>
      <c r="AI142" s="6">
        <f>Site2!J162</f>
        <v>0</v>
      </c>
      <c r="AJ142" s="6">
        <f>Site2!K162</f>
        <v>0</v>
      </c>
      <c r="AK142" s="6">
        <f>Site2!L162</f>
        <v>0</v>
      </c>
      <c r="AL142" s="6">
        <f>Site2!M162</f>
        <v>0</v>
      </c>
      <c r="AM142" s="6">
        <f>Site2!N162</f>
        <v>0</v>
      </c>
      <c r="AN142" s="6">
        <f>Site2!O162</f>
        <v>5000</v>
      </c>
      <c r="AO142" s="6">
        <f>Site2!P162</f>
        <v>0</v>
      </c>
      <c r="AQ142" s="6">
        <f>Site3!E162</f>
        <v>0</v>
      </c>
      <c r="AR142" s="6">
        <f>Site3!F162</f>
        <v>0</v>
      </c>
      <c r="AS142" s="6">
        <f>Site3!G162</f>
        <v>0</v>
      </c>
      <c r="AT142" s="6">
        <f>Site3!H162</f>
        <v>0</v>
      </c>
      <c r="AU142" s="6">
        <f>Site3!I162</f>
        <v>5000</v>
      </c>
      <c r="AV142" s="6">
        <f>Site3!J162</f>
        <v>0</v>
      </c>
      <c r="AW142" s="6">
        <f>Site3!K162</f>
        <v>0</v>
      </c>
      <c r="AX142" s="6">
        <f>Site3!L162</f>
        <v>0</v>
      </c>
      <c r="AY142" s="6">
        <f>Site3!M162</f>
        <v>0</v>
      </c>
      <c r="AZ142" s="6">
        <f>Site3!N162</f>
        <v>0</v>
      </c>
      <c r="BA142" s="6">
        <f>Site3!O162</f>
        <v>5000</v>
      </c>
      <c r="BB142" s="6">
        <f>Site3!P162</f>
        <v>0</v>
      </c>
      <c r="BD142" s="6">
        <f>Site4!E162</f>
        <v>0</v>
      </c>
      <c r="BE142" s="6">
        <f>Site4!F162</f>
        <v>0</v>
      </c>
      <c r="BF142" s="6">
        <f>Site4!G162</f>
        <v>0</v>
      </c>
      <c r="BG142" s="6">
        <f>Site4!H162</f>
        <v>0</v>
      </c>
      <c r="BH142" s="6">
        <f>Site4!I162</f>
        <v>5000</v>
      </c>
      <c r="BI142" s="6">
        <f>Site4!J162</f>
        <v>0</v>
      </c>
      <c r="BJ142" s="6">
        <f>Site4!K162</f>
        <v>0</v>
      </c>
      <c r="BK142" s="6">
        <f>Site4!L162</f>
        <v>0</v>
      </c>
      <c r="BL142" s="6">
        <f>Site4!M162</f>
        <v>0</v>
      </c>
      <c r="BM142" s="6">
        <f>Site4!N162</f>
        <v>0</v>
      </c>
      <c r="BN142" s="6">
        <f>Site4!O162</f>
        <v>5000</v>
      </c>
      <c r="BO142" s="6">
        <f>Site4!P162</f>
        <v>0</v>
      </c>
      <c r="BQ142" s="6">
        <f>Site5!E162</f>
        <v>12000</v>
      </c>
      <c r="BR142" s="6">
        <f>Site5!F162</f>
        <v>0</v>
      </c>
      <c r="BS142" s="6">
        <f>Site5!G162</f>
        <v>0</v>
      </c>
      <c r="BT142" s="6">
        <f>Site5!H162</f>
        <v>0</v>
      </c>
      <c r="BU142" s="6">
        <f>Site5!I162</f>
        <v>0</v>
      </c>
      <c r="BV142" s="6">
        <f>Site5!J162</f>
        <v>0</v>
      </c>
      <c r="BW142" s="6">
        <f>Site5!K162</f>
        <v>5000</v>
      </c>
      <c r="BX142" s="6">
        <f>Site5!L162</f>
        <v>0</v>
      </c>
      <c r="BY142" s="6">
        <f>Site5!M162</f>
        <v>0</v>
      </c>
      <c r="BZ142" s="6">
        <f>Site5!N162</f>
        <v>0</v>
      </c>
      <c r="CA142" s="6">
        <f>Site5!O162</f>
        <v>0</v>
      </c>
      <c r="CB142" s="6">
        <f>Site5!P162</f>
        <v>0</v>
      </c>
      <c r="CD142" s="6">
        <f>Site6!E162</f>
        <v>0</v>
      </c>
      <c r="CE142" s="6">
        <f>Site6!F162</f>
        <v>0</v>
      </c>
      <c r="CF142" s="6">
        <f>Site6!G162</f>
        <v>0</v>
      </c>
      <c r="CG142" s="6">
        <f>Site6!H162</f>
        <v>0</v>
      </c>
      <c r="CH142" s="6">
        <f>Site6!I162</f>
        <v>0</v>
      </c>
      <c r="CI142" s="6">
        <f>Site6!J162</f>
        <v>5000</v>
      </c>
      <c r="CJ142" s="6">
        <f>Site6!K162</f>
        <v>0</v>
      </c>
      <c r="CK142" s="6">
        <f>Site6!L162</f>
        <v>0</v>
      </c>
      <c r="CL142" s="6">
        <f>Site6!M162</f>
        <v>0</v>
      </c>
      <c r="CM142" s="6">
        <f>Site6!N162</f>
        <v>0</v>
      </c>
      <c r="CN142" s="6">
        <f>Site6!O162</f>
        <v>0</v>
      </c>
      <c r="CO142" s="6">
        <f>Site6!P162</f>
        <v>0</v>
      </c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1:107" s="31" customFormat="1" hidden="1" outlineLevel="1" x14ac:dyDescent="0.25">
      <c r="A143" s="100">
        <v>6730</v>
      </c>
      <c r="B143" s="18" t="s">
        <v>318</v>
      </c>
      <c r="D143" s="154">
        <f t="shared" si="22"/>
        <v>5000</v>
      </c>
      <c r="E143" s="154">
        <f t="shared" si="23"/>
        <v>0</v>
      </c>
      <c r="F143" s="154">
        <f t="shared" si="24"/>
        <v>0</v>
      </c>
      <c r="G143" s="154">
        <f t="shared" si="25"/>
        <v>12000</v>
      </c>
      <c r="H143" s="154">
        <f t="shared" si="26"/>
        <v>3000</v>
      </c>
      <c r="I143" s="154">
        <f t="shared" si="27"/>
        <v>3000</v>
      </c>
      <c r="J143" s="154">
        <f t="shared" si="28"/>
        <v>0</v>
      </c>
      <c r="K143" s="154">
        <f t="shared" si="29"/>
        <v>0</v>
      </c>
      <c r="L143" s="154">
        <f t="shared" si="30"/>
        <v>0</v>
      </c>
      <c r="M143" s="154">
        <f t="shared" si="31"/>
        <v>12000</v>
      </c>
      <c r="N143" s="154">
        <f t="shared" si="32"/>
        <v>6000</v>
      </c>
      <c r="O143" s="154">
        <f t="shared" si="33"/>
        <v>0</v>
      </c>
      <c r="Q143" s="6">
        <f>Site1!E163</f>
        <v>0</v>
      </c>
      <c r="R143" s="6">
        <f>Site1!F163</f>
        <v>0</v>
      </c>
      <c r="S143" s="6">
        <f>Site1!G163</f>
        <v>0</v>
      </c>
      <c r="T143" s="6">
        <f>Site1!H163</f>
        <v>3000</v>
      </c>
      <c r="U143" s="6">
        <f>Site1!I163</f>
        <v>0</v>
      </c>
      <c r="V143" s="6">
        <f>Site1!J163</f>
        <v>0</v>
      </c>
      <c r="W143" s="6">
        <f>Site1!K163</f>
        <v>0</v>
      </c>
      <c r="X143" s="6">
        <f>Site1!L163</f>
        <v>0</v>
      </c>
      <c r="Y143" s="6">
        <f>Site1!M163</f>
        <v>0</v>
      </c>
      <c r="Z143" s="6">
        <f>Site1!N163</f>
        <v>3000</v>
      </c>
      <c r="AA143" s="6">
        <f>Site1!O163</f>
        <v>0</v>
      </c>
      <c r="AB143" s="6">
        <f>Site1!P163</f>
        <v>0</v>
      </c>
      <c r="AD143" s="6">
        <f>Site2!E163</f>
        <v>0</v>
      </c>
      <c r="AE143" s="6">
        <f>Site2!F163</f>
        <v>0</v>
      </c>
      <c r="AF143" s="6">
        <f>Site2!G163</f>
        <v>0</v>
      </c>
      <c r="AG143" s="6">
        <f>Site2!H163</f>
        <v>3000</v>
      </c>
      <c r="AH143" s="6">
        <f>Site2!I163</f>
        <v>0</v>
      </c>
      <c r="AI143" s="6">
        <f>Site2!J163</f>
        <v>0</v>
      </c>
      <c r="AJ143" s="6">
        <f>Site2!K163</f>
        <v>0</v>
      </c>
      <c r="AK143" s="6">
        <f>Site2!L163</f>
        <v>0</v>
      </c>
      <c r="AL143" s="6">
        <f>Site2!M163</f>
        <v>0</v>
      </c>
      <c r="AM143" s="6">
        <f>Site2!N163</f>
        <v>3000</v>
      </c>
      <c r="AN143" s="6">
        <f>Site2!O163</f>
        <v>0</v>
      </c>
      <c r="AO143" s="6">
        <f>Site2!P163</f>
        <v>0</v>
      </c>
      <c r="AQ143" s="6">
        <f>Site3!E163</f>
        <v>0</v>
      </c>
      <c r="AR143" s="6">
        <f>Site3!F163</f>
        <v>0</v>
      </c>
      <c r="AS143" s="6">
        <f>Site3!G163</f>
        <v>0</v>
      </c>
      <c r="AT143" s="6">
        <f>Site3!H163</f>
        <v>3000</v>
      </c>
      <c r="AU143" s="6">
        <f>Site3!I163</f>
        <v>0</v>
      </c>
      <c r="AV143" s="6">
        <f>Site3!J163</f>
        <v>0</v>
      </c>
      <c r="AW143" s="6">
        <f>Site3!K163</f>
        <v>0</v>
      </c>
      <c r="AX143" s="6">
        <f>Site3!L163</f>
        <v>0</v>
      </c>
      <c r="AY143" s="6">
        <f>Site3!M163</f>
        <v>0</v>
      </c>
      <c r="AZ143" s="6">
        <f>Site3!N163</f>
        <v>3000</v>
      </c>
      <c r="BA143" s="6">
        <f>Site3!O163</f>
        <v>0</v>
      </c>
      <c r="BB143" s="6">
        <f>Site3!P163</f>
        <v>0</v>
      </c>
      <c r="BD143" s="6">
        <f>Site4!E163</f>
        <v>0</v>
      </c>
      <c r="BE143" s="6">
        <f>Site4!F163</f>
        <v>0</v>
      </c>
      <c r="BF143" s="6">
        <f>Site4!G163</f>
        <v>0</v>
      </c>
      <c r="BG143" s="6">
        <f>Site4!H163</f>
        <v>3000</v>
      </c>
      <c r="BH143" s="6">
        <f>Site4!I163</f>
        <v>0</v>
      </c>
      <c r="BI143" s="6">
        <f>Site4!J163</f>
        <v>0</v>
      </c>
      <c r="BJ143" s="6">
        <f>Site4!K163</f>
        <v>0</v>
      </c>
      <c r="BK143" s="6">
        <f>Site4!L163</f>
        <v>0</v>
      </c>
      <c r="BL143" s="6">
        <f>Site4!M163</f>
        <v>0</v>
      </c>
      <c r="BM143" s="6">
        <f>Site4!N163</f>
        <v>3000</v>
      </c>
      <c r="BN143" s="6">
        <f>Site4!O163</f>
        <v>0</v>
      </c>
      <c r="BO143" s="6">
        <f>Site4!P163</f>
        <v>0</v>
      </c>
      <c r="BQ143" s="6">
        <f>Site5!E163</f>
        <v>5000</v>
      </c>
      <c r="BR143" s="6">
        <f>Site5!F163</f>
        <v>0</v>
      </c>
      <c r="BS143" s="6">
        <f>Site5!G163</f>
        <v>0</v>
      </c>
      <c r="BT143" s="6">
        <f>Site5!H163</f>
        <v>0</v>
      </c>
      <c r="BU143" s="6">
        <f>Site5!I163</f>
        <v>0</v>
      </c>
      <c r="BV143" s="6">
        <f>Site5!J163</f>
        <v>3000</v>
      </c>
      <c r="BW143" s="6">
        <f>Site5!K163</f>
        <v>0</v>
      </c>
      <c r="BX143" s="6">
        <f>Site5!L163</f>
        <v>0</v>
      </c>
      <c r="BY143" s="6">
        <f>Site5!M163</f>
        <v>0</v>
      </c>
      <c r="BZ143" s="6">
        <f>Site5!N163</f>
        <v>0</v>
      </c>
      <c r="CA143" s="6">
        <f>Site5!O163</f>
        <v>3000</v>
      </c>
      <c r="CB143" s="6">
        <f>Site5!P163</f>
        <v>0</v>
      </c>
      <c r="CD143" s="6">
        <f>Site6!E163</f>
        <v>0</v>
      </c>
      <c r="CE143" s="6">
        <f>Site6!F163</f>
        <v>0</v>
      </c>
      <c r="CF143" s="6">
        <f>Site6!G163</f>
        <v>0</v>
      </c>
      <c r="CG143" s="6">
        <f>Site6!H163</f>
        <v>0</v>
      </c>
      <c r="CH143" s="6">
        <f>Site6!I163</f>
        <v>3000</v>
      </c>
      <c r="CI143" s="6">
        <f>Site6!J163</f>
        <v>0</v>
      </c>
      <c r="CJ143" s="6">
        <f>Site6!K163</f>
        <v>0</v>
      </c>
      <c r="CK143" s="6">
        <f>Site6!L163</f>
        <v>0</v>
      </c>
      <c r="CL143" s="6">
        <f>Site6!M163</f>
        <v>0</v>
      </c>
      <c r="CM143" s="6">
        <f>Site6!N163</f>
        <v>0</v>
      </c>
      <c r="CN143" s="6">
        <f>Site6!O163</f>
        <v>3000</v>
      </c>
      <c r="CO143" s="6">
        <f>Site6!P163</f>
        <v>0</v>
      </c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1:107" s="269" customFormat="1" collapsed="1" x14ac:dyDescent="0.25">
      <c r="A144" s="101">
        <v>700</v>
      </c>
      <c r="B144" s="274" t="s">
        <v>501</v>
      </c>
      <c r="D144" s="260">
        <f t="shared" si="22"/>
        <v>45000</v>
      </c>
      <c r="E144" s="260">
        <f t="shared" si="23"/>
        <v>37500</v>
      </c>
      <c r="F144" s="260">
        <f t="shared" si="24"/>
        <v>4500</v>
      </c>
      <c r="G144" s="260">
        <f t="shared" si="25"/>
        <v>12000</v>
      </c>
      <c r="H144" s="260">
        <f t="shared" si="26"/>
        <v>29500</v>
      </c>
      <c r="I144" s="260">
        <f t="shared" si="27"/>
        <v>51000</v>
      </c>
      <c r="J144" s="260">
        <f t="shared" si="28"/>
        <v>13500</v>
      </c>
      <c r="K144" s="260">
        <f t="shared" si="29"/>
        <v>0</v>
      </c>
      <c r="L144" s="260">
        <f t="shared" si="30"/>
        <v>8000</v>
      </c>
      <c r="M144" s="260">
        <f t="shared" si="31"/>
        <v>61000</v>
      </c>
      <c r="N144" s="260">
        <f t="shared" si="32"/>
        <v>36000</v>
      </c>
      <c r="O144" s="260">
        <f t="shared" si="33"/>
        <v>0</v>
      </c>
      <c r="Q144" s="261">
        <f>Site1!E164</f>
        <v>0</v>
      </c>
      <c r="R144" s="261">
        <f>Site1!F164</f>
        <v>15500</v>
      </c>
      <c r="S144" s="261">
        <f>Site1!G164</f>
        <v>0</v>
      </c>
      <c r="T144" s="261">
        <f>Site1!H164</f>
        <v>3000</v>
      </c>
      <c r="U144" s="261">
        <f>Site1!I164</f>
        <v>5000</v>
      </c>
      <c r="V144" s="261">
        <f>Site1!J164</f>
        <v>16500</v>
      </c>
      <c r="W144" s="261">
        <f>Site1!K164</f>
        <v>0</v>
      </c>
      <c r="X144" s="261">
        <f>Site1!L164</f>
        <v>0</v>
      </c>
      <c r="Y144" s="261">
        <f>Site1!M164</f>
        <v>0</v>
      </c>
      <c r="Z144" s="261">
        <f>Site1!N164</f>
        <v>21000</v>
      </c>
      <c r="AA144" s="261">
        <f>Site1!O164</f>
        <v>5000</v>
      </c>
      <c r="AB144" s="261">
        <f>Site1!P164</f>
        <v>0</v>
      </c>
      <c r="AD144" s="261">
        <f>Site2!E164</f>
        <v>0</v>
      </c>
      <c r="AE144" s="261">
        <f>Site2!F164</f>
        <v>10000</v>
      </c>
      <c r="AF144" s="261">
        <f>Site2!G164</f>
        <v>0</v>
      </c>
      <c r="AG144" s="261">
        <f>Site2!H164</f>
        <v>3000</v>
      </c>
      <c r="AH144" s="261">
        <f>Site2!I164</f>
        <v>5000</v>
      </c>
      <c r="AI144" s="261">
        <f>Site2!J164</f>
        <v>11000</v>
      </c>
      <c r="AJ144" s="261">
        <f>Site2!K164</f>
        <v>0</v>
      </c>
      <c r="AK144" s="261">
        <f>Site2!L164</f>
        <v>0</v>
      </c>
      <c r="AL144" s="261">
        <f>Site2!M164</f>
        <v>0</v>
      </c>
      <c r="AM144" s="261">
        <f>Site2!N164</f>
        <v>15000</v>
      </c>
      <c r="AN144" s="261">
        <f>Site2!O164</f>
        <v>5000</v>
      </c>
      <c r="AO144" s="261">
        <f>Site2!P164</f>
        <v>0</v>
      </c>
      <c r="AQ144" s="261">
        <f>Site3!E164</f>
        <v>0</v>
      </c>
      <c r="AR144" s="261">
        <f>Site3!F164</f>
        <v>5500</v>
      </c>
      <c r="AS144" s="261">
        <f>Site3!G164</f>
        <v>0</v>
      </c>
      <c r="AT144" s="261">
        <f>Site3!H164</f>
        <v>3000</v>
      </c>
      <c r="AU144" s="261">
        <f>Site3!I164</f>
        <v>5000</v>
      </c>
      <c r="AV144" s="261">
        <f>Site3!J164</f>
        <v>7000</v>
      </c>
      <c r="AW144" s="261">
        <f>Site3!K164</f>
        <v>0</v>
      </c>
      <c r="AX144" s="261">
        <f>Site3!L164</f>
        <v>0</v>
      </c>
      <c r="AY144" s="261">
        <f>Site3!M164</f>
        <v>0</v>
      </c>
      <c r="AZ144" s="261">
        <f>Site3!N164</f>
        <v>11500</v>
      </c>
      <c r="BA144" s="261">
        <f>Site3!O164</f>
        <v>5000</v>
      </c>
      <c r="BB144" s="261">
        <f>Site3!P164</f>
        <v>0</v>
      </c>
      <c r="BD144" s="261">
        <f>Site4!E164</f>
        <v>0</v>
      </c>
      <c r="BE144" s="261">
        <f>Site4!F164</f>
        <v>6500</v>
      </c>
      <c r="BF144" s="261">
        <f>Site4!G164</f>
        <v>0</v>
      </c>
      <c r="BG144" s="261">
        <f>Site4!H164</f>
        <v>3000</v>
      </c>
      <c r="BH144" s="261">
        <f>Site4!I164</f>
        <v>5000</v>
      </c>
      <c r="BI144" s="261">
        <f>Site4!J164</f>
        <v>8500</v>
      </c>
      <c r="BJ144" s="261">
        <f>Site4!K164</f>
        <v>0</v>
      </c>
      <c r="BK144" s="261">
        <f>Site4!L164</f>
        <v>0</v>
      </c>
      <c r="BL144" s="261">
        <f>Site4!M164</f>
        <v>0</v>
      </c>
      <c r="BM144" s="261">
        <f>Site4!N164</f>
        <v>13500</v>
      </c>
      <c r="BN144" s="261">
        <f>Site4!O164</f>
        <v>5000</v>
      </c>
      <c r="BO144" s="261">
        <f>Site4!P164</f>
        <v>0</v>
      </c>
      <c r="BQ144" s="261">
        <f>Site5!E164</f>
        <v>45000</v>
      </c>
      <c r="BR144" s="261">
        <f>Site5!F164</f>
        <v>0</v>
      </c>
      <c r="BS144" s="261">
        <f>Site5!G164</f>
        <v>0</v>
      </c>
      <c r="BT144" s="261">
        <f>Site5!H164</f>
        <v>0</v>
      </c>
      <c r="BU144" s="261">
        <f>Site5!I164</f>
        <v>6500</v>
      </c>
      <c r="BV144" s="261">
        <f>Site5!J164</f>
        <v>3000</v>
      </c>
      <c r="BW144" s="261">
        <f>Site5!K164</f>
        <v>5000</v>
      </c>
      <c r="BX144" s="261">
        <f>Site5!L164</f>
        <v>0</v>
      </c>
      <c r="BY144" s="261">
        <f>Site5!M164</f>
        <v>8000</v>
      </c>
      <c r="BZ144" s="261">
        <f>Site5!N164</f>
        <v>0</v>
      </c>
      <c r="CA144" s="261">
        <f>Site5!O164</f>
        <v>3000</v>
      </c>
      <c r="CB144" s="261">
        <f>Site5!P164</f>
        <v>0</v>
      </c>
      <c r="CD144" s="261">
        <f>Site6!E164</f>
        <v>0</v>
      </c>
      <c r="CE144" s="261">
        <f>Site6!F164</f>
        <v>0</v>
      </c>
      <c r="CF144" s="261">
        <f>Site6!G164</f>
        <v>4500</v>
      </c>
      <c r="CG144" s="261">
        <f>Site6!H164</f>
        <v>0</v>
      </c>
      <c r="CH144" s="261">
        <f>Site6!I164</f>
        <v>3000</v>
      </c>
      <c r="CI144" s="261">
        <f>Site6!J164</f>
        <v>5000</v>
      </c>
      <c r="CJ144" s="261">
        <f>Site6!K164</f>
        <v>8500</v>
      </c>
      <c r="CK144" s="261">
        <f>Site6!L164</f>
        <v>0</v>
      </c>
      <c r="CL144" s="261">
        <f>Site6!M164</f>
        <v>0</v>
      </c>
      <c r="CM144" s="261">
        <f>Site6!N164</f>
        <v>0</v>
      </c>
      <c r="CN144" s="261">
        <f>Site6!O164</f>
        <v>13000</v>
      </c>
      <c r="CO144" s="261">
        <f>Site6!P164</f>
        <v>0</v>
      </c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</row>
    <row r="145" spans="1:107" s="31" customFormat="1" hidden="1" outlineLevel="1" x14ac:dyDescent="0.25">
      <c r="A145" s="100">
        <v>6810</v>
      </c>
      <c r="B145" s="18" t="s">
        <v>503</v>
      </c>
      <c r="D145" s="154">
        <f t="shared" si="22"/>
        <v>3750</v>
      </c>
      <c r="E145" s="154">
        <f t="shared" si="23"/>
        <v>4275</v>
      </c>
      <c r="F145" s="154">
        <f t="shared" si="24"/>
        <v>5000</v>
      </c>
      <c r="G145" s="154">
        <f t="shared" si="25"/>
        <v>5350</v>
      </c>
      <c r="H145" s="154">
        <f t="shared" si="26"/>
        <v>5600</v>
      </c>
      <c r="I145" s="154">
        <f t="shared" si="27"/>
        <v>5800</v>
      </c>
      <c r="J145" s="154">
        <f t="shared" si="28"/>
        <v>6010</v>
      </c>
      <c r="K145" s="154">
        <f t="shared" si="29"/>
        <v>6220</v>
      </c>
      <c r="L145" s="154">
        <f t="shared" si="30"/>
        <v>6455</v>
      </c>
      <c r="M145" s="154">
        <f t="shared" si="31"/>
        <v>6690</v>
      </c>
      <c r="N145" s="154">
        <f t="shared" si="32"/>
        <v>6935</v>
      </c>
      <c r="O145" s="154">
        <f t="shared" si="33"/>
        <v>7190</v>
      </c>
      <c r="Q145" s="6">
        <f>Site1!E165</f>
        <v>1500</v>
      </c>
      <c r="R145" s="6">
        <f>Site1!F165</f>
        <v>1530</v>
      </c>
      <c r="S145" s="6">
        <f>Site1!G165</f>
        <v>1560</v>
      </c>
      <c r="T145" s="6">
        <f>Site1!H165</f>
        <v>1590</v>
      </c>
      <c r="U145" s="6">
        <f>Site1!I165</f>
        <v>1620</v>
      </c>
      <c r="V145" s="6">
        <f>Site1!J165</f>
        <v>1650</v>
      </c>
      <c r="W145" s="6">
        <f>Site1!K165</f>
        <v>1685</v>
      </c>
      <c r="X145" s="6">
        <f>Site1!L165</f>
        <v>1720</v>
      </c>
      <c r="Y145" s="6">
        <f>Site1!M165</f>
        <v>1755</v>
      </c>
      <c r="Z145" s="6">
        <f>Site1!N165</f>
        <v>1790</v>
      </c>
      <c r="AA145" s="6">
        <f>Site1!O165</f>
        <v>1825</v>
      </c>
      <c r="AB145" s="6">
        <f>Site1!P165</f>
        <v>1860</v>
      </c>
      <c r="AD145" s="6">
        <f>Site2!E165</f>
        <v>1000</v>
      </c>
      <c r="AE145" s="6">
        <f>Site2!F165</f>
        <v>1020</v>
      </c>
      <c r="AF145" s="6">
        <f>Site2!G165</f>
        <v>1040</v>
      </c>
      <c r="AG145" s="6">
        <f>Site2!H165</f>
        <v>1060</v>
      </c>
      <c r="AH145" s="6">
        <f>Site2!I165</f>
        <v>1080</v>
      </c>
      <c r="AI145" s="6">
        <f>Site2!J165</f>
        <v>1100</v>
      </c>
      <c r="AJ145" s="6">
        <f>Site2!K165</f>
        <v>1120</v>
      </c>
      <c r="AK145" s="6">
        <f>Site2!L165</f>
        <v>1140</v>
      </c>
      <c r="AL145" s="6">
        <f>Site2!M165</f>
        <v>1165</v>
      </c>
      <c r="AM145" s="6">
        <f>Site2!N165</f>
        <v>1190</v>
      </c>
      <c r="AN145" s="6">
        <f>Site2!O165</f>
        <v>1215</v>
      </c>
      <c r="AO145" s="6">
        <f>Site2!P165</f>
        <v>1240</v>
      </c>
      <c r="AQ145" s="6">
        <f>Site3!E165</f>
        <v>425</v>
      </c>
      <c r="AR145" s="6">
        <f>Site3!F165</f>
        <v>550</v>
      </c>
      <c r="AS145" s="6">
        <f>Site3!G165</f>
        <v>600</v>
      </c>
      <c r="AT145" s="6">
        <f>Site3!H165</f>
        <v>630</v>
      </c>
      <c r="AU145" s="6">
        <f>Site3!I165</f>
        <v>660</v>
      </c>
      <c r="AV145" s="6">
        <f>Site3!J165</f>
        <v>695</v>
      </c>
      <c r="AW145" s="6">
        <f>Site3!K165</f>
        <v>730</v>
      </c>
      <c r="AX145" s="6">
        <f>Site3!L165</f>
        <v>765</v>
      </c>
      <c r="AY145" s="6">
        <f>Site3!M165</f>
        <v>805</v>
      </c>
      <c r="AZ145" s="6">
        <f>Site3!N165</f>
        <v>845</v>
      </c>
      <c r="BA145" s="6">
        <f>Site3!O165</f>
        <v>885</v>
      </c>
      <c r="BB145" s="6">
        <f>Site3!P165</f>
        <v>930</v>
      </c>
      <c r="BD145" s="6">
        <f>Site4!E165</f>
        <v>450</v>
      </c>
      <c r="BE145" s="6">
        <f>Site4!F165</f>
        <v>650</v>
      </c>
      <c r="BF145" s="6">
        <f>Site4!G165</f>
        <v>750</v>
      </c>
      <c r="BG145" s="6">
        <f>Site4!H165</f>
        <v>790</v>
      </c>
      <c r="BH145" s="6">
        <f>Site4!I165</f>
        <v>830</v>
      </c>
      <c r="BI145" s="6">
        <f>Site4!J165</f>
        <v>870</v>
      </c>
      <c r="BJ145" s="6">
        <f>Site4!K165</f>
        <v>915</v>
      </c>
      <c r="BK145" s="6">
        <f>Site4!L165</f>
        <v>960</v>
      </c>
      <c r="BL145" s="6">
        <f>Site4!M165</f>
        <v>1010</v>
      </c>
      <c r="BM145" s="6">
        <f>Site4!N165</f>
        <v>1060</v>
      </c>
      <c r="BN145" s="6">
        <f>Site4!O165</f>
        <v>1115</v>
      </c>
      <c r="BO145" s="6">
        <f>Site4!P165</f>
        <v>1170</v>
      </c>
      <c r="BQ145" s="6">
        <f>Site5!E165</f>
        <v>375</v>
      </c>
      <c r="BR145" s="6">
        <f>Site5!F165</f>
        <v>525</v>
      </c>
      <c r="BS145" s="6">
        <f>Site5!G165</f>
        <v>600</v>
      </c>
      <c r="BT145" s="6">
        <f>Site5!H165</f>
        <v>630</v>
      </c>
      <c r="BU145" s="6">
        <f>Site5!I165</f>
        <v>660</v>
      </c>
      <c r="BV145" s="6">
        <f>Site5!J165</f>
        <v>695</v>
      </c>
      <c r="BW145" s="6">
        <f>Site5!K165</f>
        <v>730</v>
      </c>
      <c r="BX145" s="6">
        <f>Site5!L165</f>
        <v>765</v>
      </c>
      <c r="BY145" s="6">
        <f>Site5!M165</f>
        <v>805</v>
      </c>
      <c r="BZ145" s="6">
        <f>Site5!N165</f>
        <v>845</v>
      </c>
      <c r="CA145" s="6">
        <f>Site5!O165</f>
        <v>885</v>
      </c>
      <c r="CB145" s="6">
        <f>Site5!P165</f>
        <v>930</v>
      </c>
      <c r="CD145" s="6">
        <f>Site6!E165</f>
        <v>0</v>
      </c>
      <c r="CE145" s="6">
        <f>Site6!F165</f>
        <v>0</v>
      </c>
      <c r="CF145" s="6">
        <f>Site6!G165</f>
        <v>450</v>
      </c>
      <c r="CG145" s="6">
        <f>Site6!H165</f>
        <v>650</v>
      </c>
      <c r="CH145" s="6">
        <f>Site6!I165</f>
        <v>750</v>
      </c>
      <c r="CI145" s="6">
        <f>Site6!J165</f>
        <v>790</v>
      </c>
      <c r="CJ145" s="6">
        <f>Site6!K165</f>
        <v>830</v>
      </c>
      <c r="CK145" s="6">
        <f>Site6!L165</f>
        <v>870</v>
      </c>
      <c r="CL145" s="6">
        <f>Site6!M165</f>
        <v>915</v>
      </c>
      <c r="CM145" s="6">
        <f>Site6!N165</f>
        <v>960</v>
      </c>
      <c r="CN145" s="6">
        <f>Site6!O165</f>
        <v>1010</v>
      </c>
      <c r="CO145" s="6">
        <f>Site6!P165</f>
        <v>1060</v>
      </c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1:107" s="31" customFormat="1" hidden="1" outlineLevel="1" x14ac:dyDescent="0.25">
      <c r="A146" s="100">
        <v>6810</v>
      </c>
      <c r="B146" s="18" t="s">
        <v>504</v>
      </c>
      <c r="D146" s="154">
        <f t="shared" si="22"/>
        <v>3750</v>
      </c>
      <c r="E146" s="154">
        <f t="shared" si="23"/>
        <v>4275</v>
      </c>
      <c r="F146" s="154">
        <f t="shared" si="24"/>
        <v>5000</v>
      </c>
      <c r="G146" s="154">
        <f t="shared" si="25"/>
        <v>5350</v>
      </c>
      <c r="H146" s="154">
        <f t="shared" si="26"/>
        <v>5600</v>
      </c>
      <c r="I146" s="154">
        <f t="shared" si="27"/>
        <v>5800</v>
      </c>
      <c r="J146" s="154">
        <f t="shared" si="28"/>
        <v>6010</v>
      </c>
      <c r="K146" s="154">
        <f t="shared" si="29"/>
        <v>6220</v>
      </c>
      <c r="L146" s="154">
        <f t="shared" si="30"/>
        <v>6455</v>
      </c>
      <c r="M146" s="154">
        <f t="shared" si="31"/>
        <v>6690</v>
      </c>
      <c r="N146" s="154">
        <f t="shared" si="32"/>
        <v>6935</v>
      </c>
      <c r="O146" s="154">
        <f t="shared" si="33"/>
        <v>7190</v>
      </c>
      <c r="Q146" s="6">
        <f>Site1!E166</f>
        <v>1500</v>
      </c>
      <c r="R146" s="6">
        <f>Site1!F166</f>
        <v>1530</v>
      </c>
      <c r="S146" s="6">
        <f>Site1!G166</f>
        <v>1560</v>
      </c>
      <c r="T146" s="6">
        <f>Site1!H166</f>
        <v>1590</v>
      </c>
      <c r="U146" s="6">
        <f>Site1!I166</f>
        <v>1620</v>
      </c>
      <c r="V146" s="6">
        <f>Site1!J166</f>
        <v>1650</v>
      </c>
      <c r="W146" s="6">
        <f>Site1!K166</f>
        <v>1685</v>
      </c>
      <c r="X146" s="6">
        <f>Site1!L166</f>
        <v>1720</v>
      </c>
      <c r="Y146" s="6">
        <f>Site1!M166</f>
        <v>1755</v>
      </c>
      <c r="Z146" s="6">
        <f>Site1!N166</f>
        <v>1790</v>
      </c>
      <c r="AA146" s="6">
        <f>Site1!O166</f>
        <v>1825</v>
      </c>
      <c r="AB146" s="6">
        <f>Site1!P166</f>
        <v>1860</v>
      </c>
      <c r="AD146" s="6">
        <f>Site2!E166</f>
        <v>1000</v>
      </c>
      <c r="AE146" s="6">
        <f>Site2!F166</f>
        <v>1020</v>
      </c>
      <c r="AF146" s="6">
        <f>Site2!G166</f>
        <v>1040</v>
      </c>
      <c r="AG146" s="6">
        <f>Site2!H166</f>
        <v>1060</v>
      </c>
      <c r="AH146" s="6">
        <f>Site2!I166</f>
        <v>1080</v>
      </c>
      <c r="AI146" s="6">
        <f>Site2!J166</f>
        <v>1100</v>
      </c>
      <c r="AJ146" s="6">
        <f>Site2!K166</f>
        <v>1120</v>
      </c>
      <c r="AK146" s="6">
        <f>Site2!L166</f>
        <v>1140</v>
      </c>
      <c r="AL146" s="6">
        <f>Site2!M166</f>
        <v>1165</v>
      </c>
      <c r="AM146" s="6">
        <f>Site2!N166</f>
        <v>1190</v>
      </c>
      <c r="AN146" s="6">
        <f>Site2!O166</f>
        <v>1215</v>
      </c>
      <c r="AO146" s="6">
        <f>Site2!P166</f>
        <v>1240</v>
      </c>
      <c r="AQ146" s="6">
        <f>Site3!E166</f>
        <v>425</v>
      </c>
      <c r="AR146" s="6">
        <f>Site3!F166</f>
        <v>550</v>
      </c>
      <c r="AS146" s="6">
        <f>Site3!G166</f>
        <v>600</v>
      </c>
      <c r="AT146" s="6">
        <f>Site3!H166</f>
        <v>630</v>
      </c>
      <c r="AU146" s="6">
        <f>Site3!I166</f>
        <v>660</v>
      </c>
      <c r="AV146" s="6">
        <f>Site3!J166</f>
        <v>695</v>
      </c>
      <c r="AW146" s="6">
        <f>Site3!K166</f>
        <v>730</v>
      </c>
      <c r="AX146" s="6">
        <f>Site3!L166</f>
        <v>765</v>
      </c>
      <c r="AY146" s="6">
        <f>Site3!M166</f>
        <v>805</v>
      </c>
      <c r="AZ146" s="6">
        <f>Site3!N166</f>
        <v>845</v>
      </c>
      <c r="BA146" s="6">
        <f>Site3!O166</f>
        <v>885</v>
      </c>
      <c r="BB146" s="6">
        <f>Site3!P166</f>
        <v>930</v>
      </c>
      <c r="BD146" s="6">
        <f>Site4!E166</f>
        <v>450</v>
      </c>
      <c r="BE146" s="6">
        <f>Site4!F166</f>
        <v>650</v>
      </c>
      <c r="BF146" s="6">
        <f>Site4!G166</f>
        <v>750</v>
      </c>
      <c r="BG146" s="6">
        <f>Site4!H166</f>
        <v>790</v>
      </c>
      <c r="BH146" s="6">
        <f>Site4!I166</f>
        <v>830</v>
      </c>
      <c r="BI146" s="6">
        <f>Site4!J166</f>
        <v>870</v>
      </c>
      <c r="BJ146" s="6">
        <f>Site4!K166</f>
        <v>915</v>
      </c>
      <c r="BK146" s="6">
        <f>Site4!L166</f>
        <v>960</v>
      </c>
      <c r="BL146" s="6">
        <f>Site4!M166</f>
        <v>1010</v>
      </c>
      <c r="BM146" s="6">
        <f>Site4!N166</f>
        <v>1060</v>
      </c>
      <c r="BN146" s="6">
        <f>Site4!O166</f>
        <v>1115</v>
      </c>
      <c r="BO146" s="6">
        <f>Site4!P166</f>
        <v>1170</v>
      </c>
      <c r="BQ146" s="6">
        <f>Site5!E166</f>
        <v>375</v>
      </c>
      <c r="BR146" s="6">
        <f>Site5!F166</f>
        <v>525</v>
      </c>
      <c r="BS146" s="6">
        <f>Site5!G166</f>
        <v>600</v>
      </c>
      <c r="BT146" s="6">
        <f>Site5!H166</f>
        <v>630</v>
      </c>
      <c r="BU146" s="6">
        <f>Site5!I166</f>
        <v>660</v>
      </c>
      <c r="BV146" s="6">
        <f>Site5!J166</f>
        <v>695</v>
      </c>
      <c r="BW146" s="6">
        <f>Site5!K166</f>
        <v>730</v>
      </c>
      <c r="BX146" s="6">
        <f>Site5!L166</f>
        <v>765</v>
      </c>
      <c r="BY146" s="6">
        <f>Site5!M166</f>
        <v>805</v>
      </c>
      <c r="BZ146" s="6">
        <f>Site5!N166</f>
        <v>845</v>
      </c>
      <c r="CA146" s="6">
        <f>Site5!O166</f>
        <v>885</v>
      </c>
      <c r="CB146" s="6">
        <f>Site5!P166</f>
        <v>930</v>
      </c>
      <c r="CD146" s="6">
        <f>Site6!E166</f>
        <v>0</v>
      </c>
      <c r="CE146" s="6">
        <f>Site6!F166</f>
        <v>0</v>
      </c>
      <c r="CF146" s="6">
        <f>Site6!G166</f>
        <v>450</v>
      </c>
      <c r="CG146" s="6">
        <f>Site6!H166</f>
        <v>650</v>
      </c>
      <c r="CH146" s="6">
        <f>Site6!I166</f>
        <v>750</v>
      </c>
      <c r="CI146" s="6">
        <f>Site6!J166</f>
        <v>790</v>
      </c>
      <c r="CJ146" s="6">
        <f>Site6!K166</f>
        <v>830</v>
      </c>
      <c r="CK146" s="6">
        <f>Site6!L166</f>
        <v>870</v>
      </c>
      <c r="CL146" s="6">
        <f>Site6!M166</f>
        <v>915</v>
      </c>
      <c r="CM146" s="6">
        <f>Site6!N166</f>
        <v>960</v>
      </c>
      <c r="CN146" s="6">
        <f>Site6!O166</f>
        <v>1010</v>
      </c>
      <c r="CO146" s="6">
        <f>Site6!P166</f>
        <v>1060</v>
      </c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1:107" s="31" customFormat="1" hidden="1" outlineLevel="1" x14ac:dyDescent="0.25">
      <c r="A147" s="100">
        <v>6810</v>
      </c>
      <c r="B147" s="18" t="s">
        <v>505</v>
      </c>
      <c r="D147" s="154">
        <f t="shared" si="22"/>
        <v>250</v>
      </c>
      <c r="E147" s="154">
        <f t="shared" si="23"/>
        <v>250</v>
      </c>
      <c r="F147" s="154">
        <f t="shared" si="24"/>
        <v>300</v>
      </c>
      <c r="G147" s="154">
        <f t="shared" si="25"/>
        <v>300</v>
      </c>
      <c r="H147" s="154">
        <f t="shared" si="26"/>
        <v>300</v>
      </c>
      <c r="I147" s="154">
        <f t="shared" si="27"/>
        <v>300</v>
      </c>
      <c r="J147" s="154">
        <f t="shared" si="28"/>
        <v>300</v>
      </c>
      <c r="K147" s="154">
        <f t="shared" si="29"/>
        <v>300</v>
      </c>
      <c r="L147" s="154">
        <f t="shared" si="30"/>
        <v>300</v>
      </c>
      <c r="M147" s="154">
        <f t="shared" si="31"/>
        <v>300</v>
      </c>
      <c r="N147" s="154">
        <f t="shared" si="32"/>
        <v>300</v>
      </c>
      <c r="O147" s="154">
        <f t="shared" si="33"/>
        <v>300</v>
      </c>
      <c r="Q147" s="6">
        <f>Site1!E167</f>
        <v>50</v>
      </c>
      <c r="R147" s="6">
        <f>Site1!F167</f>
        <v>50</v>
      </c>
      <c r="S147" s="6">
        <f>Site1!G167</f>
        <v>50</v>
      </c>
      <c r="T147" s="6">
        <f>Site1!H167</f>
        <v>50</v>
      </c>
      <c r="U147" s="6">
        <f>Site1!I167</f>
        <v>50</v>
      </c>
      <c r="V147" s="6">
        <f>Site1!J167</f>
        <v>50</v>
      </c>
      <c r="W147" s="6">
        <f>Site1!K167</f>
        <v>50</v>
      </c>
      <c r="X147" s="6">
        <f>Site1!L167</f>
        <v>50</v>
      </c>
      <c r="Y147" s="6">
        <f>Site1!M167</f>
        <v>50</v>
      </c>
      <c r="Z147" s="6">
        <f>Site1!N167</f>
        <v>50</v>
      </c>
      <c r="AA147" s="6">
        <f>Site1!O167</f>
        <v>50</v>
      </c>
      <c r="AB147" s="6">
        <f>Site1!P167</f>
        <v>50</v>
      </c>
      <c r="AD147" s="6">
        <f>Site2!E167</f>
        <v>50</v>
      </c>
      <c r="AE147" s="6">
        <f>Site2!F167</f>
        <v>50</v>
      </c>
      <c r="AF147" s="6">
        <f>Site2!G167</f>
        <v>50</v>
      </c>
      <c r="AG147" s="6">
        <f>Site2!H167</f>
        <v>50</v>
      </c>
      <c r="AH147" s="6">
        <f>Site2!I167</f>
        <v>50</v>
      </c>
      <c r="AI147" s="6">
        <f>Site2!J167</f>
        <v>50</v>
      </c>
      <c r="AJ147" s="6">
        <f>Site2!K167</f>
        <v>50</v>
      </c>
      <c r="AK147" s="6">
        <f>Site2!L167</f>
        <v>50</v>
      </c>
      <c r="AL147" s="6">
        <f>Site2!M167</f>
        <v>50</v>
      </c>
      <c r="AM147" s="6">
        <f>Site2!N167</f>
        <v>50</v>
      </c>
      <c r="AN147" s="6">
        <f>Site2!O167</f>
        <v>50</v>
      </c>
      <c r="AO147" s="6">
        <f>Site2!P167</f>
        <v>50</v>
      </c>
      <c r="AQ147" s="6">
        <f>Site3!E167</f>
        <v>50</v>
      </c>
      <c r="AR147" s="6">
        <f>Site3!F167</f>
        <v>50</v>
      </c>
      <c r="AS147" s="6">
        <f>Site3!G167</f>
        <v>50</v>
      </c>
      <c r="AT147" s="6">
        <f>Site3!H167</f>
        <v>50</v>
      </c>
      <c r="AU147" s="6">
        <f>Site3!I167</f>
        <v>50</v>
      </c>
      <c r="AV147" s="6">
        <f>Site3!J167</f>
        <v>50</v>
      </c>
      <c r="AW147" s="6">
        <f>Site3!K167</f>
        <v>50</v>
      </c>
      <c r="AX147" s="6">
        <f>Site3!L167</f>
        <v>50</v>
      </c>
      <c r="AY147" s="6">
        <f>Site3!M167</f>
        <v>50</v>
      </c>
      <c r="AZ147" s="6">
        <f>Site3!N167</f>
        <v>50</v>
      </c>
      <c r="BA147" s="6">
        <f>Site3!O167</f>
        <v>50</v>
      </c>
      <c r="BB147" s="6">
        <f>Site3!P167</f>
        <v>50</v>
      </c>
      <c r="BD147" s="6">
        <f>Site4!E167</f>
        <v>50</v>
      </c>
      <c r="BE147" s="6">
        <f>Site4!F167</f>
        <v>50</v>
      </c>
      <c r="BF147" s="6">
        <f>Site4!G167</f>
        <v>50</v>
      </c>
      <c r="BG147" s="6">
        <f>Site4!H167</f>
        <v>50</v>
      </c>
      <c r="BH147" s="6">
        <f>Site4!I167</f>
        <v>50</v>
      </c>
      <c r="BI147" s="6">
        <f>Site4!J167</f>
        <v>50</v>
      </c>
      <c r="BJ147" s="6">
        <f>Site4!K167</f>
        <v>50</v>
      </c>
      <c r="BK147" s="6">
        <f>Site4!L167</f>
        <v>50</v>
      </c>
      <c r="BL147" s="6">
        <f>Site4!M167</f>
        <v>50</v>
      </c>
      <c r="BM147" s="6">
        <f>Site4!N167</f>
        <v>50</v>
      </c>
      <c r="BN147" s="6">
        <f>Site4!O167</f>
        <v>50</v>
      </c>
      <c r="BO147" s="6">
        <f>Site4!P167</f>
        <v>50</v>
      </c>
      <c r="BQ147" s="6">
        <f>Site5!E167</f>
        <v>50</v>
      </c>
      <c r="BR147" s="6">
        <f>Site5!F167</f>
        <v>50</v>
      </c>
      <c r="BS147" s="6">
        <f>Site5!G167</f>
        <v>50</v>
      </c>
      <c r="BT147" s="6">
        <f>Site5!H167</f>
        <v>50</v>
      </c>
      <c r="BU147" s="6">
        <f>Site5!I167</f>
        <v>50</v>
      </c>
      <c r="BV147" s="6">
        <f>Site5!J167</f>
        <v>50</v>
      </c>
      <c r="BW147" s="6">
        <f>Site5!K167</f>
        <v>50</v>
      </c>
      <c r="BX147" s="6">
        <f>Site5!L167</f>
        <v>50</v>
      </c>
      <c r="BY147" s="6">
        <f>Site5!M167</f>
        <v>50</v>
      </c>
      <c r="BZ147" s="6">
        <f>Site5!N167</f>
        <v>50</v>
      </c>
      <c r="CA147" s="6">
        <f>Site5!O167</f>
        <v>50</v>
      </c>
      <c r="CB147" s="6">
        <f>Site5!P167</f>
        <v>50</v>
      </c>
      <c r="CD147" s="6">
        <f>Site6!E167</f>
        <v>0</v>
      </c>
      <c r="CE147" s="6">
        <f>Site6!F167</f>
        <v>0</v>
      </c>
      <c r="CF147" s="6">
        <f>Site6!G167</f>
        <v>50</v>
      </c>
      <c r="CG147" s="6">
        <f>Site6!H167</f>
        <v>50</v>
      </c>
      <c r="CH147" s="6">
        <f>Site6!I167</f>
        <v>50</v>
      </c>
      <c r="CI147" s="6">
        <f>Site6!J167</f>
        <v>50</v>
      </c>
      <c r="CJ147" s="6">
        <f>Site6!K167</f>
        <v>50</v>
      </c>
      <c r="CK147" s="6">
        <f>Site6!L167</f>
        <v>50</v>
      </c>
      <c r="CL147" s="6">
        <f>Site6!M167</f>
        <v>50</v>
      </c>
      <c r="CM147" s="6">
        <f>Site6!N167</f>
        <v>50</v>
      </c>
      <c r="CN147" s="6">
        <f>Site6!O167</f>
        <v>50</v>
      </c>
      <c r="CO147" s="6">
        <f>Site6!P167</f>
        <v>50</v>
      </c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1:107" s="31" customFormat="1" hidden="1" outlineLevel="1" x14ac:dyDescent="0.25">
      <c r="A148" s="100">
        <v>6810</v>
      </c>
      <c r="B148" s="18" t="s">
        <v>506</v>
      </c>
      <c r="D148" s="154">
        <f t="shared" si="22"/>
        <v>0</v>
      </c>
      <c r="E148" s="154">
        <f t="shared" si="23"/>
        <v>0</v>
      </c>
      <c r="F148" s="154">
        <f t="shared" si="24"/>
        <v>0</v>
      </c>
      <c r="G148" s="154">
        <f t="shared" si="25"/>
        <v>0</v>
      </c>
      <c r="H148" s="154">
        <f t="shared" si="26"/>
        <v>0</v>
      </c>
      <c r="I148" s="154">
        <f t="shared" si="27"/>
        <v>0</v>
      </c>
      <c r="J148" s="154">
        <f t="shared" si="28"/>
        <v>0</v>
      </c>
      <c r="K148" s="154">
        <f t="shared" si="29"/>
        <v>0</v>
      </c>
      <c r="L148" s="154">
        <f t="shared" si="30"/>
        <v>0</v>
      </c>
      <c r="M148" s="154">
        <f t="shared" si="31"/>
        <v>0</v>
      </c>
      <c r="N148" s="154">
        <f t="shared" si="32"/>
        <v>0</v>
      </c>
      <c r="O148" s="154">
        <f t="shared" si="33"/>
        <v>0</v>
      </c>
      <c r="Q148" s="6">
        <f>Site1!E168</f>
        <v>0</v>
      </c>
      <c r="R148" s="6">
        <f>Site1!F168</f>
        <v>0</v>
      </c>
      <c r="S148" s="6">
        <f>Site1!G168</f>
        <v>0</v>
      </c>
      <c r="T148" s="6">
        <f>Site1!H168</f>
        <v>0</v>
      </c>
      <c r="U148" s="6">
        <f>Site1!I168</f>
        <v>0</v>
      </c>
      <c r="V148" s="6">
        <f>Site1!J168</f>
        <v>0</v>
      </c>
      <c r="W148" s="6">
        <f>Site1!K168</f>
        <v>0</v>
      </c>
      <c r="X148" s="6">
        <f>Site1!L168</f>
        <v>0</v>
      </c>
      <c r="Y148" s="6">
        <f>Site1!M168</f>
        <v>0</v>
      </c>
      <c r="Z148" s="6">
        <f>Site1!N168</f>
        <v>0</v>
      </c>
      <c r="AA148" s="6">
        <f>Site1!O168</f>
        <v>0</v>
      </c>
      <c r="AB148" s="6">
        <f>Site1!P168</f>
        <v>0</v>
      </c>
      <c r="AD148" s="6">
        <f>Site2!E168</f>
        <v>0</v>
      </c>
      <c r="AE148" s="6">
        <f>Site2!F168</f>
        <v>0</v>
      </c>
      <c r="AF148" s="6">
        <f>Site2!G168</f>
        <v>0</v>
      </c>
      <c r="AG148" s="6">
        <f>Site2!H168</f>
        <v>0</v>
      </c>
      <c r="AH148" s="6">
        <f>Site2!I168</f>
        <v>0</v>
      </c>
      <c r="AI148" s="6">
        <f>Site2!J168</f>
        <v>0</v>
      </c>
      <c r="AJ148" s="6">
        <f>Site2!K168</f>
        <v>0</v>
      </c>
      <c r="AK148" s="6">
        <f>Site2!L168</f>
        <v>0</v>
      </c>
      <c r="AL148" s="6">
        <f>Site2!M168</f>
        <v>0</v>
      </c>
      <c r="AM148" s="6">
        <f>Site2!N168</f>
        <v>0</v>
      </c>
      <c r="AN148" s="6">
        <f>Site2!O168</f>
        <v>0</v>
      </c>
      <c r="AO148" s="6">
        <f>Site2!P168</f>
        <v>0</v>
      </c>
      <c r="AQ148" s="6">
        <f>Site3!E168</f>
        <v>0</v>
      </c>
      <c r="AR148" s="6">
        <f>Site3!F168</f>
        <v>0</v>
      </c>
      <c r="AS148" s="6">
        <f>Site3!G168</f>
        <v>0</v>
      </c>
      <c r="AT148" s="6">
        <f>Site3!H168</f>
        <v>0</v>
      </c>
      <c r="AU148" s="6">
        <f>Site3!I168</f>
        <v>0</v>
      </c>
      <c r="AV148" s="6">
        <f>Site3!J168</f>
        <v>0</v>
      </c>
      <c r="AW148" s="6">
        <f>Site3!K168</f>
        <v>0</v>
      </c>
      <c r="AX148" s="6">
        <f>Site3!L168</f>
        <v>0</v>
      </c>
      <c r="AY148" s="6">
        <f>Site3!M168</f>
        <v>0</v>
      </c>
      <c r="AZ148" s="6">
        <f>Site3!N168</f>
        <v>0</v>
      </c>
      <c r="BA148" s="6">
        <f>Site3!O168</f>
        <v>0</v>
      </c>
      <c r="BB148" s="6">
        <f>Site3!P168</f>
        <v>0</v>
      </c>
      <c r="BD148" s="6">
        <f>Site4!E168</f>
        <v>0</v>
      </c>
      <c r="BE148" s="6">
        <f>Site4!F168</f>
        <v>0</v>
      </c>
      <c r="BF148" s="6">
        <f>Site4!G168</f>
        <v>0</v>
      </c>
      <c r="BG148" s="6">
        <f>Site4!H168</f>
        <v>0</v>
      </c>
      <c r="BH148" s="6">
        <f>Site4!I168</f>
        <v>0</v>
      </c>
      <c r="BI148" s="6">
        <f>Site4!J168</f>
        <v>0</v>
      </c>
      <c r="BJ148" s="6">
        <f>Site4!K168</f>
        <v>0</v>
      </c>
      <c r="BK148" s="6">
        <f>Site4!L168</f>
        <v>0</v>
      </c>
      <c r="BL148" s="6">
        <f>Site4!M168</f>
        <v>0</v>
      </c>
      <c r="BM148" s="6">
        <f>Site4!N168</f>
        <v>0</v>
      </c>
      <c r="BN148" s="6">
        <f>Site4!O168</f>
        <v>0</v>
      </c>
      <c r="BO148" s="6">
        <f>Site4!P168</f>
        <v>0</v>
      </c>
      <c r="BQ148" s="6">
        <f>Site5!E168</f>
        <v>0</v>
      </c>
      <c r="BR148" s="6">
        <f>Site5!F168</f>
        <v>0</v>
      </c>
      <c r="BS148" s="6">
        <f>Site5!G168</f>
        <v>0</v>
      </c>
      <c r="BT148" s="6">
        <f>Site5!H168</f>
        <v>0</v>
      </c>
      <c r="BU148" s="6">
        <f>Site5!I168</f>
        <v>0</v>
      </c>
      <c r="BV148" s="6">
        <f>Site5!J168</f>
        <v>0</v>
      </c>
      <c r="BW148" s="6">
        <f>Site5!K168</f>
        <v>0</v>
      </c>
      <c r="BX148" s="6">
        <f>Site5!L168</f>
        <v>0</v>
      </c>
      <c r="BY148" s="6">
        <f>Site5!M168</f>
        <v>0</v>
      </c>
      <c r="BZ148" s="6">
        <f>Site5!N168</f>
        <v>0</v>
      </c>
      <c r="CA148" s="6">
        <f>Site5!O168</f>
        <v>0</v>
      </c>
      <c r="CB148" s="6">
        <f>Site5!P168</f>
        <v>0</v>
      </c>
      <c r="CD148" s="6">
        <f>Site6!E168</f>
        <v>0</v>
      </c>
      <c r="CE148" s="6">
        <f>Site6!F168</f>
        <v>0</v>
      </c>
      <c r="CF148" s="6">
        <f>Site6!G168</f>
        <v>0</v>
      </c>
      <c r="CG148" s="6">
        <f>Site6!H168</f>
        <v>0</v>
      </c>
      <c r="CH148" s="6">
        <f>Site6!I168</f>
        <v>0</v>
      </c>
      <c r="CI148" s="6">
        <f>Site6!J168</f>
        <v>0</v>
      </c>
      <c r="CJ148" s="6">
        <f>Site6!K168</f>
        <v>0</v>
      </c>
      <c r="CK148" s="6">
        <f>Site6!L168</f>
        <v>0</v>
      </c>
      <c r="CL148" s="6">
        <f>Site6!M168</f>
        <v>0</v>
      </c>
      <c r="CM148" s="6">
        <f>Site6!N168</f>
        <v>0</v>
      </c>
      <c r="CN148" s="6">
        <f>Site6!O168</f>
        <v>0</v>
      </c>
      <c r="CO148" s="6">
        <f>Site6!P168</f>
        <v>0</v>
      </c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1:107" s="31" customFormat="1" hidden="1" outlineLevel="1" x14ac:dyDescent="0.25">
      <c r="A149" s="100">
        <v>6810</v>
      </c>
      <c r="B149" s="18" t="s">
        <v>507</v>
      </c>
      <c r="D149" s="154">
        <f t="shared" si="22"/>
        <v>0</v>
      </c>
      <c r="E149" s="154">
        <f t="shared" si="23"/>
        <v>0</v>
      </c>
      <c r="F149" s="154">
        <f t="shared" si="24"/>
        <v>0</v>
      </c>
      <c r="G149" s="154">
        <f t="shared" si="25"/>
        <v>0</v>
      </c>
      <c r="H149" s="154">
        <f t="shared" si="26"/>
        <v>0</v>
      </c>
      <c r="I149" s="154">
        <f t="shared" si="27"/>
        <v>0</v>
      </c>
      <c r="J149" s="154">
        <f t="shared" si="28"/>
        <v>0</v>
      </c>
      <c r="K149" s="154">
        <f t="shared" si="29"/>
        <v>0</v>
      </c>
      <c r="L149" s="154">
        <f t="shared" si="30"/>
        <v>0</v>
      </c>
      <c r="M149" s="154">
        <f t="shared" si="31"/>
        <v>0</v>
      </c>
      <c r="N149" s="154">
        <f t="shared" si="32"/>
        <v>0</v>
      </c>
      <c r="O149" s="154">
        <f t="shared" si="33"/>
        <v>0</v>
      </c>
      <c r="Q149" s="6">
        <f>Site1!E169</f>
        <v>0</v>
      </c>
      <c r="R149" s="6">
        <f>Site1!F169</f>
        <v>0</v>
      </c>
      <c r="S149" s="6">
        <f>Site1!G169</f>
        <v>0</v>
      </c>
      <c r="T149" s="6">
        <f>Site1!H169</f>
        <v>0</v>
      </c>
      <c r="U149" s="6">
        <f>Site1!I169</f>
        <v>0</v>
      </c>
      <c r="V149" s="6">
        <f>Site1!J169</f>
        <v>0</v>
      </c>
      <c r="W149" s="6">
        <f>Site1!K169</f>
        <v>0</v>
      </c>
      <c r="X149" s="6">
        <f>Site1!L169</f>
        <v>0</v>
      </c>
      <c r="Y149" s="6">
        <f>Site1!M169</f>
        <v>0</v>
      </c>
      <c r="Z149" s="6">
        <f>Site1!N169</f>
        <v>0</v>
      </c>
      <c r="AA149" s="6">
        <f>Site1!O169</f>
        <v>0</v>
      </c>
      <c r="AB149" s="6">
        <f>Site1!P169</f>
        <v>0</v>
      </c>
      <c r="AD149" s="6">
        <f>Site2!E169</f>
        <v>0</v>
      </c>
      <c r="AE149" s="6">
        <f>Site2!F169</f>
        <v>0</v>
      </c>
      <c r="AF149" s="6">
        <f>Site2!G169</f>
        <v>0</v>
      </c>
      <c r="AG149" s="6">
        <f>Site2!H169</f>
        <v>0</v>
      </c>
      <c r="AH149" s="6">
        <f>Site2!I169</f>
        <v>0</v>
      </c>
      <c r="AI149" s="6">
        <f>Site2!J169</f>
        <v>0</v>
      </c>
      <c r="AJ149" s="6">
        <f>Site2!K169</f>
        <v>0</v>
      </c>
      <c r="AK149" s="6">
        <f>Site2!L169</f>
        <v>0</v>
      </c>
      <c r="AL149" s="6">
        <f>Site2!M169</f>
        <v>0</v>
      </c>
      <c r="AM149" s="6">
        <f>Site2!N169</f>
        <v>0</v>
      </c>
      <c r="AN149" s="6">
        <f>Site2!O169</f>
        <v>0</v>
      </c>
      <c r="AO149" s="6">
        <f>Site2!P169</f>
        <v>0</v>
      </c>
      <c r="AQ149" s="6">
        <f>Site3!E169</f>
        <v>0</v>
      </c>
      <c r="AR149" s="6">
        <f>Site3!F169</f>
        <v>0</v>
      </c>
      <c r="AS149" s="6">
        <f>Site3!G169</f>
        <v>0</v>
      </c>
      <c r="AT149" s="6">
        <f>Site3!H169</f>
        <v>0</v>
      </c>
      <c r="AU149" s="6">
        <f>Site3!I169</f>
        <v>0</v>
      </c>
      <c r="AV149" s="6">
        <f>Site3!J169</f>
        <v>0</v>
      </c>
      <c r="AW149" s="6">
        <f>Site3!K169</f>
        <v>0</v>
      </c>
      <c r="AX149" s="6">
        <f>Site3!L169</f>
        <v>0</v>
      </c>
      <c r="AY149" s="6">
        <f>Site3!M169</f>
        <v>0</v>
      </c>
      <c r="AZ149" s="6">
        <f>Site3!N169</f>
        <v>0</v>
      </c>
      <c r="BA149" s="6">
        <f>Site3!O169</f>
        <v>0</v>
      </c>
      <c r="BB149" s="6">
        <f>Site3!P169</f>
        <v>0</v>
      </c>
      <c r="BD149" s="6">
        <f>Site4!E169</f>
        <v>0</v>
      </c>
      <c r="BE149" s="6">
        <f>Site4!F169</f>
        <v>0</v>
      </c>
      <c r="BF149" s="6">
        <f>Site4!G169</f>
        <v>0</v>
      </c>
      <c r="BG149" s="6">
        <f>Site4!H169</f>
        <v>0</v>
      </c>
      <c r="BH149" s="6">
        <f>Site4!I169</f>
        <v>0</v>
      </c>
      <c r="BI149" s="6">
        <f>Site4!J169</f>
        <v>0</v>
      </c>
      <c r="BJ149" s="6">
        <f>Site4!K169</f>
        <v>0</v>
      </c>
      <c r="BK149" s="6">
        <f>Site4!L169</f>
        <v>0</v>
      </c>
      <c r="BL149" s="6">
        <f>Site4!M169</f>
        <v>0</v>
      </c>
      <c r="BM149" s="6">
        <f>Site4!N169</f>
        <v>0</v>
      </c>
      <c r="BN149" s="6">
        <f>Site4!O169</f>
        <v>0</v>
      </c>
      <c r="BO149" s="6">
        <f>Site4!P169</f>
        <v>0</v>
      </c>
      <c r="BQ149" s="6">
        <f>Site5!E169</f>
        <v>0</v>
      </c>
      <c r="BR149" s="6">
        <f>Site5!F169</f>
        <v>0</v>
      </c>
      <c r="BS149" s="6">
        <f>Site5!G169</f>
        <v>0</v>
      </c>
      <c r="BT149" s="6">
        <f>Site5!H169</f>
        <v>0</v>
      </c>
      <c r="BU149" s="6">
        <f>Site5!I169</f>
        <v>0</v>
      </c>
      <c r="BV149" s="6">
        <f>Site5!J169</f>
        <v>0</v>
      </c>
      <c r="BW149" s="6">
        <f>Site5!K169</f>
        <v>0</v>
      </c>
      <c r="BX149" s="6">
        <f>Site5!L169</f>
        <v>0</v>
      </c>
      <c r="BY149" s="6">
        <f>Site5!M169</f>
        <v>0</v>
      </c>
      <c r="BZ149" s="6">
        <f>Site5!N169</f>
        <v>0</v>
      </c>
      <c r="CA149" s="6">
        <f>Site5!O169</f>
        <v>0</v>
      </c>
      <c r="CB149" s="6">
        <f>Site5!P169</f>
        <v>0</v>
      </c>
      <c r="CD149" s="6">
        <f>Site6!E169</f>
        <v>0</v>
      </c>
      <c r="CE149" s="6">
        <f>Site6!F169</f>
        <v>0</v>
      </c>
      <c r="CF149" s="6">
        <f>Site6!G169</f>
        <v>0</v>
      </c>
      <c r="CG149" s="6">
        <f>Site6!H169</f>
        <v>0</v>
      </c>
      <c r="CH149" s="6">
        <f>Site6!I169</f>
        <v>0</v>
      </c>
      <c r="CI149" s="6">
        <f>Site6!J169</f>
        <v>0</v>
      </c>
      <c r="CJ149" s="6">
        <f>Site6!K169</f>
        <v>0</v>
      </c>
      <c r="CK149" s="6">
        <f>Site6!L169</f>
        <v>0</v>
      </c>
      <c r="CL149" s="6">
        <f>Site6!M169</f>
        <v>0</v>
      </c>
      <c r="CM149" s="6">
        <f>Site6!N169</f>
        <v>0</v>
      </c>
      <c r="CN149" s="6">
        <f>Site6!O169</f>
        <v>0</v>
      </c>
      <c r="CO149" s="6">
        <f>Site6!P169</f>
        <v>0</v>
      </c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1:107" s="31" customFormat="1" hidden="1" outlineLevel="1" x14ac:dyDescent="0.25">
      <c r="A150" s="100">
        <v>6810</v>
      </c>
      <c r="B150" s="18" t="s">
        <v>525</v>
      </c>
      <c r="D150" s="154">
        <f t="shared" si="22"/>
        <v>0</v>
      </c>
      <c r="E150" s="154">
        <f t="shared" si="23"/>
        <v>0</v>
      </c>
      <c r="F150" s="154">
        <f t="shared" si="24"/>
        <v>0</v>
      </c>
      <c r="G150" s="154">
        <f t="shared" si="25"/>
        <v>0</v>
      </c>
      <c r="H150" s="154">
        <f t="shared" si="26"/>
        <v>0</v>
      </c>
      <c r="I150" s="154">
        <f t="shared" si="27"/>
        <v>0</v>
      </c>
      <c r="J150" s="154">
        <f t="shared" si="28"/>
        <v>0</v>
      </c>
      <c r="K150" s="154">
        <f t="shared" si="29"/>
        <v>0</v>
      </c>
      <c r="L150" s="154">
        <f t="shared" si="30"/>
        <v>0</v>
      </c>
      <c r="M150" s="154">
        <f t="shared" si="31"/>
        <v>0</v>
      </c>
      <c r="N150" s="154">
        <f t="shared" si="32"/>
        <v>0</v>
      </c>
      <c r="O150" s="154">
        <f t="shared" si="33"/>
        <v>0</v>
      </c>
      <c r="Q150" s="107">
        <f>Site1!E170</f>
        <v>0</v>
      </c>
      <c r="R150" s="107">
        <f>Site1!F170</f>
        <v>0</v>
      </c>
      <c r="S150" s="107">
        <f>Site1!G170</f>
        <v>0</v>
      </c>
      <c r="T150" s="107">
        <f>Site1!H170</f>
        <v>0</v>
      </c>
      <c r="U150" s="107">
        <f>Site1!I170</f>
        <v>0</v>
      </c>
      <c r="V150" s="107">
        <f>Site1!J170</f>
        <v>0</v>
      </c>
      <c r="W150" s="107">
        <f>Site1!K170</f>
        <v>0</v>
      </c>
      <c r="X150" s="107">
        <f>Site1!L170</f>
        <v>0</v>
      </c>
      <c r="Y150" s="107">
        <f>Site1!M170</f>
        <v>0</v>
      </c>
      <c r="Z150" s="107">
        <f>Site1!N170</f>
        <v>0</v>
      </c>
      <c r="AA150" s="107">
        <f>Site1!O170</f>
        <v>0</v>
      </c>
      <c r="AB150" s="107">
        <f>Site1!P170</f>
        <v>0</v>
      </c>
      <c r="AD150" s="107">
        <f>Site2!E170</f>
        <v>0</v>
      </c>
      <c r="AE150" s="107">
        <f>Site2!F170</f>
        <v>0</v>
      </c>
      <c r="AF150" s="107">
        <f>Site2!G170</f>
        <v>0</v>
      </c>
      <c r="AG150" s="107">
        <f>Site2!H170</f>
        <v>0</v>
      </c>
      <c r="AH150" s="107">
        <f>Site2!I170</f>
        <v>0</v>
      </c>
      <c r="AI150" s="107">
        <f>Site2!J170</f>
        <v>0</v>
      </c>
      <c r="AJ150" s="107">
        <f>Site2!K170</f>
        <v>0</v>
      </c>
      <c r="AK150" s="107">
        <f>Site2!L170</f>
        <v>0</v>
      </c>
      <c r="AL150" s="107">
        <f>Site2!M170</f>
        <v>0</v>
      </c>
      <c r="AM150" s="107">
        <f>Site2!N170</f>
        <v>0</v>
      </c>
      <c r="AN150" s="107">
        <f>Site2!O170</f>
        <v>0</v>
      </c>
      <c r="AO150" s="107">
        <f>Site2!P170</f>
        <v>0</v>
      </c>
      <c r="AQ150" s="107">
        <f>Site3!E170</f>
        <v>0</v>
      </c>
      <c r="AR150" s="107">
        <f>Site3!F170</f>
        <v>0</v>
      </c>
      <c r="AS150" s="107">
        <f>Site3!G170</f>
        <v>0</v>
      </c>
      <c r="AT150" s="107">
        <f>Site3!H170</f>
        <v>0</v>
      </c>
      <c r="AU150" s="107">
        <f>Site3!I170</f>
        <v>0</v>
      </c>
      <c r="AV150" s="107">
        <f>Site3!J170</f>
        <v>0</v>
      </c>
      <c r="AW150" s="107">
        <f>Site3!K170</f>
        <v>0</v>
      </c>
      <c r="AX150" s="107">
        <f>Site3!L170</f>
        <v>0</v>
      </c>
      <c r="AY150" s="107">
        <f>Site3!M170</f>
        <v>0</v>
      </c>
      <c r="AZ150" s="107">
        <f>Site3!N170</f>
        <v>0</v>
      </c>
      <c r="BA150" s="107">
        <f>Site3!O170</f>
        <v>0</v>
      </c>
      <c r="BB150" s="107">
        <f>Site3!P170</f>
        <v>0</v>
      </c>
      <c r="BD150" s="107">
        <f>Site4!E170</f>
        <v>0</v>
      </c>
      <c r="BE150" s="107">
        <f>Site4!F170</f>
        <v>0</v>
      </c>
      <c r="BF150" s="107">
        <f>Site4!G170</f>
        <v>0</v>
      </c>
      <c r="BG150" s="107">
        <f>Site4!H170</f>
        <v>0</v>
      </c>
      <c r="BH150" s="107">
        <f>Site4!I170</f>
        <v>0</v>
      </c>
      <c r="BI150" s="107">
        <f>Site4!J170</f>
        <v>0</v>
      </c>
      <c r="BJ150" s="107">
        <f>Site4!K170</f>
        <v>0</v>
      </c>
      <c r="BK150" s="107">
        <f>Site4!L170</f>
        <v>0</v>
      </c>
      <c r="BL150" s="107">
        <f>Site4!M170</f>
        <v>0</v>
      </c>
      <c r="BM150" s="107">
        <f>Site4!N170</f>
        <v>0</v>
      </c>
      <c r="BN150" s="107">
        <f>Site4!O170</f>
        <v>0</v>
      </c>
      <c r="BO150" s="107">
        <f>Site4!P170</f>
        <v>0</v>
      </c>
      <c r="BQ150" s="107">
        <f>Site5!E170</f>
        <v>0</v>
      </c>
      <c r="BR150" s="107">
        <f>Site5!F170</f>
        <v>0</v>
      </c>
      <c r="BS150" s="107">
        <f>Site5!G170</f>
        <v>0</v>
      </c>
      <c r="BT150" s="107">
        <f>Site5!H170</f>
        <v>0</v>
      </c>
      <c r="BU150" s="107">
        <f>Site5!I170</f>
        <v>0</v>
      </c>
      <c r="BV150" s="107">
        <f>Site5!J170</f>
        <v>0</v>
      </c>
      <c r="BW150" s="107">
        <f>Site5!K170</f>
        <v>0</v>
      </c>
      <c r="BX150" s="107">
        <f>Site5!L170</f>
        <v>0</v>
      </c>
      <c r="BY150" s="107">
        <f>Site5!M170</f>
        <v>0</v>
      </c>
      <c r="BZ150" s="107">
        <f>Site5!N170</f>
        <v>0</v>
      </c>
      <c r="CA150" s="107">
        <f>Site5!O170</f>
        <v>0</v>
      </c>
      <c r="CB150" s="107">
        <f>Site5!P170</f>
        <v>0</v>
      </c>
      <c r="CD150" s="107">
        <f>Site6!E170</f>
        <v>0</v>
      </c>
      <c r="CE150" s="107">
        <f>Site6!F170</f>
        <v>0</v>
      </c>
      <c r="CF150" s="107">
        <f>Site6!G170</f>
        <v>0</v>
      </c>
      <c r="CG150" s="107">
        <f>Site6!H170</f>
        <v>0</v>
      </c>
      <c r="CH150" s="107">
        <f>Site6!I170</f>
        <v>0</v>
      </c>
      <c r="CI150" s="107">
        <f>Site6!J170</f>
        <v>0</v>
      </c>
      <c r="CJ150" s="107">
        <f>Site6!K170</f>
        <v>0</v>
      </c>
      <c r="CK150" s="107">
        <f>Site6!L170</f>
        <v>0</v>
      </c>
      <c r="CL150" s="107">
        <f>Site6!M170</f>
        <v>0</v>
      </c>
      <c r="CM150" s="107">
        <f>Site6!N170</f>
        <v>0</v>
      </c>
      <c r="CN150" s="107">
        <f>Site6!O170</f>
        <v>0</v>
      </c>
      <c r="CO150" s="107">
        <f>Site6!P170</f>
        <v>0</v>
      </c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1:107" s="31" customFormat="1" hidden="1" outlineLevel="1" x14ac:dyDescent="0.25">
      <c r="A151" s="100">
        <v>6810</v>
      </c>
      <c r="B151" s="18" t="s">
        <v>508</v>
      </c>
      <c r="D151" s="154">
        <f t="shared" si="22"/>
        <v>0</v>
      </c>
      <c r="E151" s="154">
        <f t="shared" si="23"/>
        <v>0</v>
      </c>
      <c r="F151" s="154">
        <f t="shared" si="24"/>
        <v>0</v>
      </c>
      <c r="G151" s="154">
        <f t="shared" si="25"/>
        <v>0</v>
      </c>
      <c r="H151" s="154">
        <f t="shared" si="26"/>
        <v>0</v>
      </c>
      <c r="I151" s="154">
        <f t="shared" si="27"/>
        <v>0</v>
      </c>
      <c r="J151" s="154">
        <f t="shared" si="28"/>
        <v>0</v>
      </c>
      <c r="K151" s="154">
        <f t="shared" si="29"/>
        <v>0</v>
      </c>
      <c r="L151" s="154">
        <f t="shared" si="30"/>
        <v>0</v>
      </c>
      <c r="M151" s="154">
        <f t="shared" si="31"/>
        <v>0</v>
      </c>
      <c r="N151" s="154">
        <f t="shared" si="32"/>
        <v>0</v>
      </c>
      <c r="O151" s="154">
        <f t="shared" si="33"/>
        <v>0</v>
      </c>
      <c r="Q151" s="75">
        <f>Site1!E171</f>
        <v>0</v>
      </c>
      <c r="R151" s="75">
        <f>Site1!F171</f>
        <v>0</v>
      </c>
      <c r="S151" s="75">
        <f>Site1!G171</f>
        <v>0</v>
      </c>
      <c r="T151" s="75">
        <f>Site1!H171</f>
        <v>0</v>
      </c>
      <c r="U151" s="75">
        <f>Site1!I171</f>
        <v>0</v>
      </c>
      <c r="V151" s="75">
        <f>Site1!J171</f>
        <v>0</v>
      </c>
      <c r="W151" s="75">
        <f>Site1!K171</f>
        <v>0</v>
      </c>
      <c r="X151" s="75">
        <f>Site1!L171</f>
        <v>0</v>
      </c>
      <c r="Y151" s="75">
        <f>Site1!M171</f>
        <v>0</v>
      </c>
      <c r="Z151" s="75">
        <f>Site1!N171</f>
        <v>0</v>
      </c>
      <c r="AA151" s="75">
        <f>Site1!O171</f>
        <v>0</v>
      </c>
      <c r="AB151" s="75">
        <f>Site1!P171</f>
        <v>0</v>
      </c>
      <c r="AD151" s="75">
        <f>Site2!E171</f>
        <v>0</v>
      </c>
      <c r="AE151" s="75">
        <f>Site2!F171</f>
        <v>0</v>
      </c>
      <c r="AF151" s="75">
        <f>Site2!G171</f>
        <v>0</v>
      </c>
      <c r="AG151" s="75">
        <f>Site2!H171</f>
        <v>0</v>
      </c>
      <c r="AH151" s="75">
        <f>Site2!I171</f>
        <v>0</v>
      </c>
      <c r="AI151" s="75">
        <f>Site2!J171</f>
        <v>0</v>
      </c>
      <c r="AJ151" s="75">
        <f>Site2!K171</f>
        <v>0</v>
      </c>
      <c r="AK151" s="75">
        <f>Site2!L171</f>
        <v>0</v>
      </c>
      <c r="AL151" s="75">
        <f>Site2!M171</f>
        <v>0</v>
      </c>
      <c r="AM151" s="75">
        <f>Site2!N171</f>
        <v>0</v>
      </c>
      <c r="AN151" s="75">
        <f>Site2!O171</f>
        <v>0</v>
      </c>
      <c r="AO151" s="75">
        <f>Site2!P171</f>
        <v>0</v>
      </c>
      <c r="AQ151" s="75">
        <f>Site3!E171</f>
        <v>0</v>
      </c>
      <c r="AR151" s="75">
        <f>Site3!F171</f>
        <v>0</v>
      </c>
      <c r="AS151" s="75">
        <f>Site3!G171</f>
        <v>0</v>
      </c>
      <c r="AT151" s="75">
        <f>Site3!H171</f>
        <v>0</v>
      </c>
      <c r="AU151" s="75">
        <f>Site3!I171</f>
        <v>0</v>
      </c>
      <c r="AV151" s="75">
        <f>Site3!J171</f>
        <v>0</v>
      </c>
      <c r="AW151" s="75">
        <f>Site3!K171</f>
        <v>0</v>
      </c>
      <c r="AX151" s="75">
        <f>Site3!L171</f>
        <v>0</v>
      </c>
      <c r="AY151" s="75">
        <f>Site3!M171</f>
        <v>0</v>
      </c>
      <c r="AZ151" s="75">
        <f>Site3!N171</f>
        <v>0</v>
      </c>
      <c r="BA151" s="75">
        <f>Site3!O171</f>
        <v>0</v>
      </c>
      <c r="BB151" s="75">
        <f>Site3!P171</f>
        <v>0</v>
      </c>
      <c r="BD151" s="75">
        <f>Site4!E171</f>
        <v>0</v>
      </c>
      <c r="BE151" s="75">
        <f>Site4!F171</f>
        <v>0</v>
      </c>
      <c r="BF151" s="75">
        <f>Site4!G171</f>
        <v>0</v>
      </c>
      <c r="BG151" s="75">
        <f>Site4!H171</f>
        <v>0</v>
      </c>
      <c r="BH151" s="75">
        <f>Site4!I171</f>
        <v>0</v>
      </c>
      <c r="BI151" s="75">
        <f>Site4!J171</f>
        <v>0</v>
      </c>
      <c r="BJ151" s="75">
        <f>Site4!K171</f>
        <v>0</v>
      </c>
      <c r="BK151" s="75">
        <f>Site4!L171</f>
        <v>0</v>
      </c>
      <c r="BL151" s="75">
        <f>Site4!M171</f>
        <v>0</v>
      </c>
      <c r="BM151" s="75">
        <f>Site4!N171</f>
        <v>0</v>
      </c>
      <c r="BN151" s="75">
        <f>Site4!O171</f>
        <v>0</v>
      </c>
      <c r="BO151" s="75">
        <f>Site4!P171</f>
        <v>0</v>
      </c>
      <c r="BQ151" s="75">
        <f>Site5!E171</f>
        <v>0</v>
      </c>
      <c r="BR151" s="75">
        <f>Site5!F171</f>
        <v>0</v>
      </c>
      <c r="BS151" s="75">
        <f>Site5!G171</f>
        <v>0</v>
      </c>
      <c r="BT151" s="75">
        <f>Site5!H171</f>
        <v>0</v>
      </c>
      <c r="BU151" s="75">
        <f>Site5!I171</f>
        <v>0</v>
      </c>
      <c r="BV151" s="75">
        <f>Site5!J171</f>
        <v>0</v>
      </c>
      <c r="BW151" s="75">
        <f>Site5!K171</f>
        <v>0</v>
      </c>
      <c r="BX151" s="75">
        <f>Site5!L171</f>
        <v>0</v>
      </c>
      <c r="BY151" s="75">
        <f>Site5!M171</f>
        <v>0</v>
      </c>
      <c r="BZ151" s="75">
        <f>Site5!N171</f>
        <v>0</v>
      </c>
      <c r="CA151" s="75">
        <f>Site5!O171</f>
        <v>0</v>
      </c>
      <c r="CB151" s="75">
        <f>Site5!P171</f>
        <v>0</v>
      </c>
      <c r="CD151" s="75">
        <f>Site6!E171</f>
        <v>0</v>
      </c>
      <c r="CE151" s="75">
        <f>Site6!F171</f>
        <v>0</v>
      </c>
      <c r="CF151" s="75">
        <f>Site6!G171</f>
        <v>0</v>
      </c>
      <c r="CG151" s="75">
        <f>Site6!H171</f>
        <v>0</v>
      </c>
      <c r="CH151" s="75">
        <f>Site6!I171</f>
        <v>0</v>
      </c>
      <c r="CI151" s="75">
        <f>Site6!J171</f>
        <v>0</v>
      </c>
      <c r="CJ151" s="75">
        <f>Site6!K171</f>
        <v>0</v>
      </c>
      <c r="CK151" s="75">
        <f>Site6!L171</f>
        <v>0</v>
      </c>
      <c r="CL151" s="75">
        <f>Site6!M171</f>
        <v>0</v>
      </c>
      <c r="CM151" s="75">
        <f>Site6!N171</f>
        <v>0</v>
      </c>
      <c r="CN151" s="75">
        <f>Site6!O171</f>
        <v>0</v>
      </c>
      <c r="CO151" s="75">
        <f>Site6!P171</f>
        <v>0</v>
      </c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1:107" s="31" customFormat="1" hidden="1" outlineLevel="1" x14ac:dyDescent="0.25">
      <c r="A152" s="100">
        <v>6810</v>
      </c>
      <c r="B152" s="18" t="s">
        <v>509</v>
      </c>
      <c r="D152" s="154">
        <f>Q152+AD152+AQ152+BD152+BQ152+CD152</f>
        <v>1600</v>
      </c>
      <c r="E152" s="154">
        <f t="shared" si="23"/>
        <v>1600</v>
      </c>
      <c r="F152" s="154">
        <f t="shared" si="24"/>
        <v>3200</v>
      </c>
      <c r="G152" s="154">
        <f t="shared" si="25"/>
        <v>3200</v>
      </c>
      <c r="H152" s="154">
        <f t="shared" si="26"/>
        <v>3200</v>
      </c>
      <c r="I152" s="154">
        <f t="shared" si="27"/>
        <v>3200</v>
      </c>
      <c r="J152" s="154">
        <f t="shared" si="28"/>
        <v>3200</v>
      </c>
      <c r="K152" s="154">
        <f t="shared" si="29"/>
        <v>3200</v>
      </c>
      <c r="L152" s="154">
        <f t="shared" si="30"/>
        <v>3200</v>
      </c>
      <c r="M152" s="154">
        <f t="shared" si="31"/>
        <v>3200</v>
      </c>
      <c r="N152" s="154">
        <f t="shared" si="32"/>
        <v>3200</v>
      </c>
      <c r="O152" s="154">
        <f t="shared" si="33"/>
        <v>3200</v>
      </c>
      <c r="Q152" s="6">
        <f>Site1!E172</f>
        <v>0</v>
      </c>
      <c r="R152" s="6">
        <f>Site1!F172</f>
        <v>0</v>
      </c>
      <c r="S152" s="6">
        <f>Site1!G172</f>
        <v>0</v>
      </c>
      <c r="T152" s="6">
        <f>Site1!H172</f>
        <v>0</v>
      </c>
      <c r="U152" s="6">
        <f>Site1!I172</f>
        <v>0</v>
      </c>
      <c r="V152" s="6">
        <f>Site1!J172</f>
        <v>0</v>
      </c>
      <c r="W152" s="6">
        <f>Site1!K172</f>
        <v>0</v>
      </c>
      <c r="X152" s="6">
        <f>Site1!L172</f>
        <v>0</v>
      </c>
      <c r="Y152" s="6">
        <f>Site1!M172</f>
        <v>0</v>
      </c>
      <c r="Z152" s="6">
        <f>Site1!N172</f>
        <v>0</v>
      </c>
      <c r="AA152" s="6">
        <f>Site1!O172</f>
        <v>0</v>
      </c>
      <c r="AB152" s="6">
        <f>Site1!P172</f>
        <v>0</v>
      </c>
      <c r="AD152" s="6">
        <f>Site2!E172</f>
        <v>0</v>
      </c>
      <c r="AE152" s="6">
        <f>Site2!F172</f>
        <v>0</v>
      </c>
      <c r="AF152" s="6">
        <f>Site2!G172</f>
        <v>0</v>
      </c>
      <c r="AG152" s="6">
        <f>Site2!H172</f>
        <v>0</v>
      </c>
      <c r="AH152" s="6">
        <f>Site2!I172</f>
        <v>0</v>
      </c>
      <c r="AI152" s="6">
        <f>Site2!J172</f>
        <v>0</v>
      </c>
      <c r="AJ152" s="6">
        <f>Site2!K172</f>
        <v>0</v>
      </c>
      <c r="AK152" s="6">
        <f>Site2!L172</f>
        <v>0</v>
      </c>
      <c r="AL152" s="6">
        <f>Site2!M172</f>
        <v>0</v>
      </c>
      <c r="AM152" s="6">
        <f>Site2!N172</f>
        <v>0</v>
      </c>
      <c r="AN152" s="6">
        <f>Site2!O172</f>
        <v>0</v>
      </c>
      <c r="AO152" s="6">
        <f>Site2!P172</f>
        <v>0</v>
      </c>
      <c r="AQ152" s="6">
        <f>Site3!E172</f>
        <v>0</v>
      </c>
      <c r="AR152" s="6">
        <f>Site3!F172</f>
        <v>0</v>
      </c>
      <c r="AS152" s="6">
        <f>Site3!G172</f>
        <v>0</v>
      </c>
      <c r="AT152" s="6">
        <f>Site3!H172</f>
        <v>0</v>
      </c>
      <c r="AU152" s="6">
        <f>Site3!I172</f>
        <v>0</v>
      </c>
      <c r="AV152" s="6">
        <f>Site3!J172</f>
        <v>0</v>
      </c>
      <c r="AW152" s="6">
        <f>Site3!K172</f>
        <v>0</v>
      </c>
      <c r="AX152" s="6">
        <f>Site3!L172</f>
        <v>0</v>
      </c>
      <c r="AY152" s="6">
        <f>Site3!M172</f>
        <v>0</v>
      </c>
      <c r="AZ152" s="6">
        <f>Site3!N172</f>
        <v>0</v>
      </c>
      <c r="BA152" s="6">
        <f>Site3!O172</f>
        <v>0</v>
      </c>
      <c r="BB152" s="6">
        <f>Site3!P172</f>
        <v>0</v>
      </c>
      <c r="BD152" s="6">
        <f>Site4!E172</f>
        <v>1600</v>
      </c>
      <c r="BE152" s="6">
        <f>Site4!F172</f>
        <v>1600</v>
      </c>
      <c r="BF152" s="6">
        <f>Site4!G172</f>
        <v>1600</v>
      </c>
      <c r="BG152" s="6">
        <f>Site4!H172</f>
        <v>1600</v>
      </c>
      <c r="BH152" s="6">
        <f>Site4!I172</f>
        <v>1600</v>
      </c>
      <c r="BI152" s="6">
        <f>Site4!J172</f>
        <v>1600</v>
      </c>
      <c r="BJ152" s="6">
        <f>Site4!K172</f>
        <v>1600</v>
      </c>
      <c r="BK152" s="6">
        <f>Site4!L172</f>
        <v>1600</v>
      </c>
      <c r="BL152" s="6">
        <f>Site4!M172</f>
        <v>1600</v>
      </c>
      <c r="BM152" s="6">
        <f>Site4!N172</f>
        <v>1600</v>
      </c>
      <c r="BN152" s="6">
        <f>Site4!O172</f>
        <v>1600</v>
      </c>
      <c r="BO152" s="6">
        <f>Site4!P172</f>
        <v>1600</v>
      </c>
      <c r="BQ152" s="6">
        <f>Site5!E172</f>
        <v>0</v>
      </c>
      <c r="BR152" s="6">
        <f>Site5!F172</f>
        <v>0</v>
      </c>
      <c r="BS152" s="6">
        <f>Site5!G172</f>
        <v>0</v>
      </c>
      <c r="BT152" s="6">
        <f>Site5!H172</f>
        <v>0</v>
      </c>
      <c r="BU152" s="6">
        <f>Site5!I172</f>
        <v>0</v>
      </c>
      <c r="BV152" s="6">
        <f>Site5!J172</f>
        <v>0</v>
      </c>
      <c r="BW152" s="6">
        <f>Site5!K172</f>
        <v>0</v>
      </c>
      <c r="BX152" s="6">
        <f>Site5!L172</f>
        <v>0</v>
      </c>
      <c r="BY152" s="6">
        <f>Site5!M172</f>
        <v>0</v>
      </c>
      <c r="BZ152" s="6">
        <f>Site5!N172</f>
        <v>0</v>
      </c>
      <c r="CA152" s="6">
        <f>Site5!O172</f>
        <v>0</v>
      </c>
      <c r="CB152" s="6">
        <f>Site5!P172</f>
        <v>0</v>
      </c>
      <c r="CD152" s="6">
        <f>Site6!E172</f>
        <v>0</v>
      </c>
      <c r="CE152" s="6">
        <f>Site6!F172</f>
        <v>0</v>
      </c>
      <c r="CF152" s="6">
        <f>Site6!G172</f>
        <v>1600</v>
      </c>
      <c r="CG152" s="6">
        <f>Site6!H172</f>
        <v>1600</v>
      </c>
      <c r="CH152" s="6">
        <f>Site6!I172</f>
        <v>1600</v>
      </c>
      <c r="CI152" s="6">
        <f>Site6!J172</f>
        <v>1600</v>
      </c>
      <c r="CJ152" s="6">
        <f>Site6!K172</f>
        <v>1600</v>
      </c>
      <c r="CK152" s="6">
        <f>Site6!L172</f>
        <v>1600</v>
      </c>
      <c r="CL152" s="6">
        <f>Site6!M172</f>
        <v>1600</v>
      </c>
      <c r="CM152" s="6">
        <f>Site6!N172</f>
        <v>1600</v>
      </c>
      <c r="CN152" s="6">
        <f>Site6!O172</f>
        <v>1600</v>
      </c>
      <c r="CO152" s="6">
        <f>Site6!P172</f>
        <v>1600</v>
      </c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1:107" s="269" customFormat="1" collapsed="1" x14ac:dyDescent="0.25">
      <c r="A153" s="101">
        <v>800</v>
      </c>
      <c r="B153" s="274" t="s">
        <v>502</v>
      </c>
      <c r="D153" s="260">
        <f>Q153+AD153+AQ153+BD153+BQ153+CD153</f>
        <v>9350</v>
      </c>
      <c r="E153" s="260">
        <f t="shared" si="23"/>
        <v>10400</v>
      </c>
      <c r="F153" s="260">
        <f t="shared" si="24"/>
        <v>13500</v>
      </c>
      <c r="G153" s="260">
        <f t="shared" si="25"/>
        <v>14200</v>
      </c>
      <c r="H153" s="260">
        <f t="shared" si="26"/>
        <v>14700</v>
      </c>
      <c r="I153" s="260">
        <f t="shared" si="27"/>
        <v>15100</v>
      </c>
      <c r="J153" s="260">
        <f t="shared" si="28"/>
        <v>15520</v>
      </c>
      <c r="K153" s="260">
        <f t="shared" si="29"/>
        <v>15940</v>
      </c>
      <c r="L153" s="260">
        <f t="shared" si="30"/>
        <v>16410</v>
      </c>
      <c r="M153" s="260">
        <f t="shared" si="31"/>
        <v>16880</v>
      </c>
      <c r="N153" s="260">
        <f t="shared" si="32"/>
        <v>17370</v>
      </c>
      <c r="O153" s="260">
        <f t="shared" si="33"/>
        <v>17880</v>
      </c>
      <c r="Q153" s="261">
        <f>Site1!E173</f>
        <v>3050</v>
      </c>
      <c r="R153" s="261">
        <f>Site1!F173</f>
        <v>3110</v>
      </c>
      <c r="S153" s="261">
        <f>Site1!G173</f>
        <v>3170</v>
      </c>
      <c r="T153" s="261">
        <f>Site1!H173</f>
        <v>3230</v>
      </c>
      <c r="U153" s="261">
        <f>Site1!I173</f>
        <v>3290</v>
      </c>
      <c r="V153" s="261">
        <f>Site1!J173</f>
        <v>3350</v>
      </c>
      <c r="W153" s="261">
        <f>Site1!K173</f>
        <v>3420</v>
      </c>
      <c r="X153" s="261">
        <f>Site1!L173</f>
        <v>3490</v>
      </c>
      <c r="Y153" s="261">
        <f>Site1!M173</f>
        <v>3560</v>
      </c>
      <c r="Z153" s="261">
        <f>Site1!N173</f>
        <v>3630</v>
      </c>
      <c r="AA153" s="261">
        <f>Site1!O173</f>
        <v>3700</v>
      </c>
      <c r="AB153" s="261">
        <f>Site1!P173</f>
        <v>3770</v>
      </c>
      <c r="AD153" s="261">
        <f>Site2!E173</f>
        <v>2050</v>
      </c>
      <c r="AE153" s="261">
        <f>Site2!F173</f>
        <v>2090</v>
      </c>
      <c r="AF153" s="261">
        <f>Site2!G173</f>
        <v>2130</v>
      </c>
      <c r="AG153" s="261">
        <f>Site2!H173</f>
        <v>2170</v>
      </c>
      <c r="AH153" s="261">
        <f>Site2!I173</f>
        <v>2210</v>
      </c>
      <c r="AI153" s="261">
        <f>Site2!J173</f>
        <v>2250</v>
      </c>
      <c r="AJ153" s="261">
        <f>Site2!K173</f>
        <v>2290</v>
      </c>
      <c r="AK153" s="261">
        <f>Site2!L173</f>
        <v>2330</v>
      </c>
      <c r="AL153" s="261">
        <f>Site2!M173</f>
        <v>2380</v>
      </c>
      <c r="AM153" s="261">
        <f>Site2!N173</f>
        <v>2430</v>
      </c>
      <c r="AN153" s="261">
        <f>Site2!O173</f>
        <v>2480</v>
      </c>
      <c r="AO153" s="261">
        <f>Site2!P173</f>
        <v>2530</v>
      </c>
      <c r="AQ153" s="261">
        <f>Site3!E173</f>
        <v>900</v>
      </c>
      <c r="AR153" s="261">
        <f>Site3!F173</f>
        <v>1150</v>
      </c>
      <c r="AS153" s="261">
        <f>Site3!G173</f>
        <v>1250</v>
      </c>
      <c r="AT153" s="261">
        <f>Site3!H173</f>
        <v>1310</v>
      </c>
      <c r="AU153" s="261">
        <f>Site3!I173</f>
        <v>1370</v>
      </c>
      <c r="AV153" s="261">
        <f>Site3!J173</f>
        <v>1440</v>
      </c>
      <c r="AW153" s="261">
        <f>Site3!K173</f>
        <v>1510</v>
      </c>
      <c r="AX153" s="261">
        <f>Site3!L173</f>
        <v>1580</v>
      </c>
      <c r="AY153" s="261">
        <f>Site3!M173</f>
        <v>1660</v>
      </c>
      <c r="AZ153" s="261">
        <f>Site3!N173</f>
        <v>1740</v>
      </c>
      <c r="BA153" s="261">
        <f>Site3!O173</f>
        <v>1820</v>
      </c>
      <c r="BB153" s="261">
        <f>Site3!P173</f>
        <v>1910</v>
      </c>
      <c r="BD153" s="261">
        <f>Site4!E173</f>
        <v>2550</v>
      </c>
      <c r="BE153" s="261">
        <f>Site4!F173</f>
        <v>2950</v>
      </c>
      <c r="BF153" s="261">
        <f>Site4!G173</f>
        <v>3150</v>
      </c>
      <c r="BG153" s="261">
        <f>Site4!H173</f>
        <v>3230</v>
      </c>
      <c r="BH153" s="261">
        <f>Site4!I173</f>
        <v>3310</v>
      </c>
      <c r="BI153" s="261">
        <f>Site4!J173</f>
        <v>3390</v>
      </c>
      <c r="BJ153" s="261">
        <f>Site4!K173</f>
        <v>3480</v>
      </c>
      <c r="BK153" s="261">
        <f>Site4!L173</f>
        <v>3570</v>
      </c>
      <c r="BL153" s="261">
        <f>Site4!M173</f>
        <v>3670</v>
      </c>
      <c r="BM153" s="261">
        <f>Site4!N173</f>
        <v>3770</v>
      </c>
      <c r="BN153" s="261">
        <f>Site4!O173</f>
        <v>3880</v>
      </c>
      <c r="BO153" s="261">
        <f>Site4!P173</f>
        <v>3990</v>
      </c>
      <c r="BQ153" s="261">
        <f>Site5!E173</f>
        <v>800</v>
      </c>
      <c r="BR153" s="261">
        <f>Site5!F173</f>
        <v>1100</v>
      </c>
      <c r="BS153" s="261">
        <f>Site5!G173</f>
        <v>1250</v>
      </c>
      <c r="BT153" s="261">
        <f>Site5!H173</f>
        <v>1310</v>
      </c>
      <c r="BU153" s="261">
        <f>Site5!I173</f>
        <v>1370</v>
      </c>
      <c r="BV153" s="261">
        <f>Site5!J173</f>
        <v>1440</v>
      </c>
      <c r="BW153" s="261">
        <f>Site5!K173</f>
        <v>1510</v>
      </c>
      <c r="BX153" s="261">
        <f>Site5!L173</f>
        <v>1580</v>
      </c>
      <c r="BY153" s="261">
        <f>Site5!M173</f>
        <v>1660</v>
      </c>
      <c r="BZ153" s="261">
        <f>Site5!N173</f>
        <v>1740</v>
      </c>
      <c r="CA153" s="261">
        <f>Site5!O173</f>
        <v>1820</v>
      </c>
      <c r="CB153" s="261">
        <f>Site5!P173</f>
        <v>1910</v>
      </c>
      <c r="CD153" s="261">
        <f>Site6!E173</f>
        <v>0</v>
      </c>
      <c r="CE153" s="261">
        <f>Site6!F173</f>
        <v>0</v>
      </c>
      <c r="CF153" s="261">
        <f>Site6!G173</f>
        <v>2550</v>
      </c>
      <c r="CG153" s="261">
        <f>Site6!H173</f>
        <v>2950</v>
      </c>
      <c r="CH153" s="261">
        <f>Site6!I173</f>
        <v>3150</v>
      </c>
      <c r="CI153" s="261">
        <f>Site6!J173</f>
        <v>3230</v>
      </c>
      <c r="CJ153" s="261">
        <f>Site6!K173</f>
        <v>3310</v>
      </c>
      <c r="CK153" s="261">
        <f>Site6!L173</f>
        <v>3390</v>
      </c>
      <c r="CL153" s="261">
        <f>Site6!M173</f>
        <v>3480</v>
      </c>
      <c r="CM153" s="261">
        <f>Site6!N173</f>
        <v>3570</v>
      </c>
      <c r="CN153" s="261">
        <f>Site6!O173</f>
        <v>3670</v>
      </c>
      <c r="CO153" s="261">
        <f>Site6!P173</f>
        <v>3770</v>
      </c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</row>
    <row r="154" spans="1:107" s="269" customFormat="1" x14ac:dyDescent="0.25">
      <c r="A154" s="284">
        <v>900</v>
      </c>
      <c r="B154" s="276" t="s">
        <v>85</v>
      </c>
      <c r="D154" s="260">
        <f>Q154+AD154+AQ154+BD154+BQ154+CD154</f>
        <v>0</v>
      </c>
      <c r="E154" s="260">
        <f t="shared" si="23"/>
        <v>0</v>
      </c>
      <c r="F154" s="260">
        <f t="shared" si="24"/>
        <v>0</v>
      </c>
      <c r="G154" s="260">
        <f t="shared" si="25"/>
        <v>0</v>
      </c>
      <c r="H154" s="260">
        <f t="shared" si="26"/>
        <v>0</v>
      </c>
      <c r="I154" s="260">
        <f t="shared" si="27"/>
        <v>0</v>
      </c>
      <c r="J154" s="260">
        <f t="shared" si="28"/>
        <v>0</v>
      </c>
      <c r="K154" s="260">
        <f t="shared" si="29"/>
        <v>0</v>
      </c>
      <c r="L154" s="260">
        <f t="shared" si="30"/>
        <v>0</v>
      </c>
      <c r="M154" s="260">
        <f t="shared" si="31"/>
        <v>0</v>
      </c>
      <c r="N154" s="260">
        <f t="shared" si="32"/>
        <v>0</v>
      </c>
      <c r="O154" s="260">
        <f t="shared" si="33"/>
        <v>0</v>
      </c>
      <c r="Q154" s="287">
        <f>Site1!E174</f>
        <v>0</v>
      </c>
      <c r="R154" s="287">
        <f>Site1!F174</f>
        <v>0</v>
      </c>
      <c r="S154" s="287">
        <f>Site1!G174</f>
        <v>0</v>
      </c>
      <c r="T154" s="287">
        <f>Site1!H174</f>
        <v>0</v>
      </c>
      <c r="U154" s="287">
        <f>Site1!I174</f>
        <v>0</v>
      </c>
      <c r="V154" s="287">
        <f>Site1!J174</f>
        <v>0</v>
      </c>
      <c r="W154" s="287">
        <f>Site1!K174</f>
        <v>0</v>
      </c>
      <c r="X154" s="287">
        <f>Site1!L174</f>
        <v>0</v>
      </c>
      <c r="Y154" s="287">
        <f>Site1!M174</f>
        <v>0</v>
      </c>
      <c r="Z154" s="287">
        <f>Site1!N174</f>
        <v>0</v>
      </c>
      <c r="AA154" s="287">
        <f>Site1!O174</f>
        <v>0</v>
      </c>
      <c r="AB154" s="287">
        <f>Site1!P174</f>
        <v>0</v>
      </c>
      <c r="AD154" s="287">
        <f>Site2!E174</f>
        <v>0</v>
      </c>
      <c r="AE154" s="287">
        <f>Site2!F174</f>
        <v>0</v>
      </c>
      <c r="AF154" s="287">
        <f>Site2!G174</f>
        <v>0</v>
      </c>
      <c r="AG154" s="287">
        <f>Site2!H174</f>
        <v>0</v>
      </c>
      <c r="AH154" s="287">
        <f>Site2!I174</f>
        <v>0</v>
      </c>
      <c r="AI154" s="287">
        <f>Site2!J174</f>
        <v>0</v>
      </c>
      <c r="AJ154" s="287">
        <f>Site2!K174</f>
        <v>0</v>
      </c>
      <c r="AK154" s="287">
        <f>Site2!L174</f>
        <v>0</v>
      </c>
      <c r="AL154" s="287">
        <f>Site2!M174</f>
        <v>0</v>
      </c>
      <c r="AM154" s="287">
        <f>Site2!N174</f>
        <v>0</v>
      </c>
      <c r="AN154" s="287">
        <f>Site2!O174</f>
        <v>0</v>
      </c>
      <c r="AO154" s="287">
        <f>Site2!P174</f>
        <v>0</v>
      </c>
      <c r="AQ154" s="287">
        <f>Site3!E174</f>
        <v>0</v>
      </c>
      <c r="AR154" s="287">
        <f>Site3!F174</f>
        <v>0</v>
      </c>
      <c r="AS154" s="287">
        <f>Site3!G174</f>
        <v>0</v>
      </c>
      <c r="AT154" s="287">
        <f>Site3!H174</f>
        <v>0</v>
      </c>
      <c r="AU154" s="287">
        <f>Site3!I174</f>
        <v>0</v>
      </c>
      <c r="AV154" s="287">
        <f>Site3!J174</f>
        <v>0</v>
      </c>
      <c r="AW154" s="287">
        <f>Site3!K174</f>
        <v>0</v>
      </c>
      <c r="AX154" s="287">
        <f>Site3!L174</f>
        <v>0</v>
      </c>
      <c r="AY154" s="287">
        <f>Site3!M174</f>
        <v>0</v>
      </c>
      <c r="AZ154" s="287">
        <f>Site3!N174</f>
        <v>0</v>
      </c>
      <c r="BA154" s="287">
        <f>Site3!O174</f>
        <v>0</v>
      </c>
      <c r="BB154" s="287">
        <f>Site3!P174</f>
        <v>0</v>
      </c>
      <c r="BD154" s="287">
        <f>Site4!E174</f>
        <v>0</v>
      </c>
      <c r="BE154" s="287">
        <f>Site4!F174</f>
        <v>0</v>
      </c>
      <c r="BF154" s="287">
        <f>Site4!G174</f>
        <v>0</v>
      </c>
      <c r="BG154" s="287">
        <f>Site4!H174</f>
        <v>0</v>
      </c>
      <c r="BH154" s="287">
        <f>Site4!I174</f>
        <v>0</v>
      </c>
      <c r="BI154" s="287">
        <f>Site4!J174</f>
        <v>0</v>
      </c>
      <c r="BJ154" s="287">
        <f>Site4!K174</f>
        <v>0</v>
      </c>
      <c r="BK154" s="287">
        <f>Site4!L174</f>
        <v>0</v>
      </c>
      <c r="BL154" s="287">
        <f>Site4!M174</f>
        <v>0</v>
      </c>
      <c r="BM154" s="287">
        <f>Site4!N174</f>
        <v>0</v>
      </c>
      <c r="BN154" s="287">
        <f>Site4!O174</f>
        <v>0</v>
      </c>
      <c r="BO154" s="287">
        <f>Site4!P174</f>
        <v>0</v>
      </c>
      <c r="BQ154" s="287">
        <f>Site5!E174</f>
        <v>0</v>
      </c>
      <c r="BR154" s="287">
        <f>Site5!F174</f>
        <v>0</v>
      </c>
      <c r="BS154" s="287">
        <f>Site5!G174</f>
        <v>0</v>
      </c>
      <c r="BT154" s="287">
        <f>Site5!H174</f>
        <v>0</v>
      </c>
      <c r="BU154" s="287">
        <f>Site5!I174</f>
        <v>0</v>
      </c>
      <c r="BV154" s="287">
        <f>Site5!J174</f>
        <v>0</v>
      </c>
      <c r="BW154" s="287">
        <f>Site5!K174</f>
        <v>0</v>
      </c>
      <c r="BX154" s="287">
        <f>Site5!L174</f>
        <v>0</v>
      </c>
      <c r="BY154" s="287">
        <f>Site5!M174</f>
        <v>0</v>
      </c>
      <c r="BZ154" s="287">
        <f>Site5!N174</f>
        <v>0</v>
      </c>
      <c r="CA154" s="287">
        <f>Site5!O174</f>
        <v>0</v>
      </c>
      <c r="CB154" s="287">
        <f>Site5!P174</f>
        <v>0</v>
      </c>
      <c r="CD154" s="287">
        <f>Site6!E174</f>
        <v>0</v>
      </c>
      <c r="CE154" s="287">
        <f>Site6!F174</f>
        <v>0</v>
      </c>
      <c r="CF154" s="287">
        <f>Site6!G174</f>
        <v>0</v>
      </c>
      <c r="CG154" s="287">
        <f>Site6!H174</f>
        <v>0</v>
      </c>
      <c r="CH154" s="287">
        <f>Site6!I174</f>
        <v>0</v>
      </c>
      <c r="CI154" s="287">
        <f>Site6!J174</f>
        <v>0</v>
      </c>
      <c r="CJ154" s="287">
        <f>Site6!K174</f>
        <v>0</v>
      </c>
      <c r="CK154" s="287">
        <f>Site6!L174</f>
        <v>0</v>
      </c>
      <c r="CL154" s="287">
        <f>Site6!M174</f>
        <v>0</v>
      </c>
      <c r="CM154" s="287">
        <f>Site6!N174</f>
        <v>0</v>
      </c>
      <c r="CN154" s="287">
        <f>Site6!O174</f>
        <v>0</v>
      </c>
      <c r="CO154" s="287">
        <f>Site6!P174</f>
        <v>0</v>
      </c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</row>
    <row r="155" spans="1:107" s="30" customFormat="1" x14ac:dyDescent="0.25">
      <c r="A155" s="57">
        <v>950</v>
      </c>
      <c r="B155" s="272" t="s">
        <v>86</v>
      </c>
      <c r="D155" s="260">
        <f>Q155+AD155+AQ155+BD155+BQ155+CD155</f>
        <v>0</v>
      </c>
      <c r="E155" s="260">
        <f t="shared" si="23"/>
        <v>0</v>
      </c>
      <c r="F155" s="260">
        <f t="shared" si="24"/>
        <v>0</v>
      </c>
      <c r="G155" s="260">
        <f t="shared" si="25"/>
        <v>0</v>
      </c>
      <c r="H155" s="260">
        <f t="shared" si="26"/>
        <v>0</v>
      </c>
      <c r="I155" s="260">
        <f t="shared" si="27"/>
        <v>0</v>
      </c>
      <c r="J155" s="260">
        <f t="shared" si="28"/>
        <v>0</v>
      </c>
      <c r="K155" s="260">
        <f t="shared" si="29"/>
        <v>0</v>
      </c>
      <c r="L155" s="260">
        <f t="shared" si="30"/>
        <v>0</v>
      </c>
      <c r="M155" s="260">
        <f t="shared" si="31"/>
        <v>0</v>
      </c>
      <c r="N155" s="260">
        <f t="shared" si="32"/>
        <v>0</v>
      </c>
      <c r="O155" s="260">
        <f t="shared" si="33"/>
        <v>0</v>
      </c>
      <c r="Q155" s="261">
        <f>Site1!E175</f>
        <v>0</v>
      </c>
      <c r="R155" s="261">
        <f>Site1!F175</f>
        <v>0</v>
      </c>
      <c r="S155" s="261">
        <f>Site1!G175</f>
        <v>0</v>
      </c>
      <c r="T155" s="261">
        <f>Site1!H175</f>
        <v>0</v>
      </c>
      <c r="U155" s="261">
        <f>Site1!I175</f>
        <v>0</v>
      </c>
      <c r="V155" s="261">
        <f>Site1!J175</f>
        <v>0</v>
      </c>
      <c r="W155" s="261">
        <f>Site1!K175</f>
        <v>0</v>
      </c>
      <c r="X155" s="261">
        <f>Site1!L175</f>
        <v>0</v>
      </c>
      <c r="Y155" s="261">
        <f>Site1!M175</f>
        <v>0</v>
      </c>
      <c r="Z155" s="261">
        <f>Site1!N175</f>
        <v>0</v>
      </c>
      <c r="AA155" s="261">
        <f>Site1!O175</f>
        <v>0</v>
      </c>
      <c r="AB155" s="261">
        <f>Site1!P175</f>
        <v>0</v>
      </c>
      <c r="AD155" s="261">
        <f>Site2!E175</f>
        <v>0</v>
      </c>
      <c r="AE155" s="261">
        <f>Site2!F175</f>
        <v>0</v>
      </c>
      <c r="AF155" s="261">
        <f>Site2!G175</f>
        <v>0</v>
      </c>
      <c r="AG155" s="261">
        <f>Site2!H175</f>
        <v>0</v>
      </c>
      <c r="AH155" s="261">
        <f>Site2!I175</f>
        <v>0</v>
      </c>
      <c r="AI155" s="261">
        <f>Site2!J175</f>
        <v>0</v>
      </c>
      <c r="AJ155" s="261">
        <f>Site2!K175</f>
        <v>0</v>
      </c>
      <c r="AK155" s="261">
        <f>Site2!L175</f>
        <v>0</v>
      </c>
      <c r="AL155" s="261">
        <f>Site2!M175</f>
        <v>0</v>
      </c>
      <c r="AM155" s="261">
        <f>Site2!N175</f>
        <v>0</v>
      </c>
      <c r="AN155" s="261">
        <f>Site2!O175</f>
        <v>0</v>
      </c>
      <c r="AO155" s="261">
        <f>Site2!P175</f>
        <v>0</v>
      </c>
      <c r="AQ155" s="261">
        <f>Site3!E175</f>
        <v>0</v>
      </c>
      <c r="AR155" s="261">
        <f>Site3!F175</f>
        <v>0</v>
      </c>
      <c r="AS155" s="261">
        <f>Site3!G175</f>
        <v>0</v>
      </c>
      <c r="AT155" s="261">
        <f>Site3!H175</f>
        <v>0</v>
      </c>
      <c r="AU155" s="261">
        <f>Site3!I175</f>
        <v>0</v>
      </c>
      <c r="AV155" s="261">
        <f>Site3!J175</f>
        <v>0</v>
      </c>
      <c r="AW155" s="261">
        <f>Site3!K175</f>
        <v>0</v>
      </c>
      <c r="AX155" s="261">
        <f>Site3!L175</f>
        <v>0</v>
      </c>
      <c r="AY155" s="261">
        <f>Site3!M175</f>
        <v>0</v>
      </c>
      <c r="AZ155" s="261">
        <f>Site3!N175</f>
        <v>0</v>
      </c>
      <c r="BA155" s="261">
        <f>Site3!O175</f>
        <v>0</v>
      </c>
      <c r="BB155" s="261">
        <f>Site3!P175</f>
        <v>0</v>
      </c>
      <c r="BD155" s="261">
        <f>Site4!E175</f>
        <v>0</v>
      </c>
      <c r="BE155" s="261">
        <f>Site4!F175</f>
        <v>0</v>
      </c>
      <c r="BF155" s="261">
        <f>Site4!G175</f>
        <v>0</v>
      </c>
      <c r="BG155" s="261">
        <f>Site4!H175</f>
        <v>0</v>
      </c>
      <c r="BH155" s="261">
        <f>Site4!I175</f>
        <v>0</v>
      </c>
      <c r="BI155" s="261">
        <f>Site4!J175</f>
        <v>0</v>
      </c>
      <c r="BJ155" s="261">
        <f>Site4!K175</f>
        <v>0</v>
      </c>
      <c r="BK155" s="261">
        <f>Site4!L175</f>
        <v>0</v>
      </c>
      <c r="BL155" s="261">
        <f>Site4!M175</f>
        <v>0</v>
      </c>
      <c r="BM155" s="261">
        <f>Site4!N175</f>
        <v>0</v>
      </c>
      <c r="BN155" s="261">
        <f>Site4!O175</f>
        <v>0</v>
      </c>
      <c r="BO155" s="261">
        <f>Site4!P175</f>
        <v>0</v>
      </c>
      <c r="BQ155" s="261">
        <f>Site5!E175</f>
        <v>0</v>
      </c>
      <c r="BR155" s="261">
        <f>Site5!F175</f>
        <v>0</v>
      </c>
      <c r="BS155" s="261">
        <f>Site5!G175</f>
        <v>0</v>
      </c>
      <c r="BT155" s="261">
        <f>Site5!H175</f>
        <v>0</v>
      </c>
      <c r="BU155" s="261">
        <f>Site5!I175</f>
        <v>0</v>
      </c>
      <c r="BV155" s="261">
        <f>Site5!J175</f>
        <v>0</v>
      </c>
      <c r="BW155" s="261">
        <f>Site5!K175</f>
        <v>0</v>
      </c>
      <c r="BX155" s="261">
        <f>Site5!L175</f>
        <v>0</v>
      </c>
      <c r="BY155" s="261">
        <f>Site5!M175</f>
        <v>0</v>
      </c>
      <c r="BZ155" s="261">
        <f>Site5!N175</f>
        <v>0</v>
      </c>
      <c r="CA155" s="261">
        <f>Site5!O175</f>
        <v>0</v>
      </c>
      <c r="CB155" s="261">
        <f>Site5!P175</f>
        <v>0</v>
      </c>
      <c r="CD155" s="261">
        <f>Site6!E175</f>
        <v>0</v>
      </c>
      <c r="CE155" s="261">
        <f>Site6!F175</f>
        <v>0</v>
      </c>
      <c r="CF155" s="261">
        <f>Site6!G175</f>
        <v>0</v>
      </c>
      <c r="CG155" s="261">
        <f>Site6!H175</f>
        <v>0</v>
      </c>
      <c r="CH155" s="261">
        <f>Site6!I175</f>
        <v>0</v>
      </c>
      <c r="CI155" s="261">
        <f>Site6!J175</f>
        <v>0</v>
      </c>
      <c r="CJ155" s="261">
        <f>Site6!K175</f>
        <v>0</v>
      </c>
      <c r="CK155" s="261">
        <f>Site6!L175</f>
        <v>0</v>
      </c>
      <c r="CL155" s="261">
        <f>Site6!M175</f>
        <v>0</v>
      </c>
      <c r="CM155" s="261">
        <f>Site6!N175</f>
        <v>0</v>
      </c>
      <c r="CN155" s="261">
        <f>Site6!O175</f>
        <v>0</v>
      </c>
      <c r="CO155" s="261">
        <f>Site6!P175</f>
        <v>0</v>
      </c>
    </row>
    <row r="156" spans="1:107" x14ac:dyDescent="0.25">
      <c r="B156" s="18" t="s">
        <v>216</v>
      </c>
      <c r="D156" s="103">
        <f>Q156+AD156+AQ156+BD156+BQ156+CD156</f>
        <v>3775915.7268399997</v>
      </c>
      <c r="E156" s="103">
        <f t="shared" si="23"/>
        <v>4151097.4947173004</v>
      </c>
      <c r="F156" s="103">
        <f t="shared" si="24"/>
        <v>4870070.0658565005</v>
      </c>
      <c r="G156" s="103">
        <f t="shared" si="25"/>
        <v>5268081.1317294501</v>
      </c>
      <c r="H156" s="103">
        <f t="shared" si="26"/>
        <v>5538709.0205376027</v>
      </c>
      <c r="I156" s="103">
        <f t="shared" si="27"/>
        <v>5783848.1332638441</v>
      </c>
      <c r="J156" s="103">
        <f t="shared" si="28"/>
        <v>5980516.166922492</v>
      </c>
      <c r="K156" s="103">
        <f t="shared" si="29"/>
        <v>6254342.2271946259</v>
      </c>
      <c r="L156" s="103">
        <f t="shared" si="30"/>
        <v>6572972.4414577754</v>
      </c>
      <c r="M156" s="103">
        <f t="shared" si="31"/>
        <v>6943139.6956043439</v>
      </c>
      <c r="N156" s="103">
        <f t="shared" si="32"/>
        <v>7197751.0507186539</v>
      </c>
      <c r="O156" s="103">
        <f t="shared" si="33"/>
        <v>7453257.6916547846</v>
      </c>
      <c r="Q156" s="103">
        <f>Site1!E176</f>
        <v>1284652.43484</v>
      </c>
      <c r="R156" s="103">
        <f>Site1!F176</f>
        <v>1308787.0323418002</v>
      </c>
      <c r="S156" s="103">
        <f>Site1!G176</f>
        <v>1335769.63020635</v>
      </c>
      <c r="T156" s="103">
        <f>Site1!H176</f>
        <v>1403165.2613249929</v>
      </c>
      <c r="U156" s="103">
        <f>Site1!I176</f>
        <v>1449175.0432208674</v>
      </c>
      <c r="V156" s="103">
        <f>Site1!J176</f>
        <v>1505916.2145593399</v>
      </c>
      <c r="W156" s="103">
        <f>Site1!K176</f>
        <v>1537805.747989649</v>
      </c>
      <c r="X156" s="103">
        <f>Site1!L176</f>
        <v>1587037.0020586185</v>
      </c>
      <c r="Y156" s="103">
        <f>Site1!M176</f>
        <v>1637115.0353764156</v>
      </c>
      <c r="Z156" s="103">
        <f>Site1!N176</f>
        <v>1709044.0254734408</v>
      </c>
      <c r="AA156" s="103">
        <f>Site1!O176</f>
        <v>1744827.272339595</v>
      </c>
      <c r="AB156" s="103">
        <f>Site1!P176</f>
        <v>1792470.2020694604</v>
      </c>
      <c r="AD156" s="103">
        <f>Site2!E176</f>
        <v>901584.37800000003</v>
      </c>
      <c r="AE156" s="103">
        <f>Site2!F176</f>
        <v>947069.12074699998</v>
      </c>
      <c r="AF156" s="103">
        <f>Site2!G176</f>
        <v>965131.48205250013</v>
      </c>
      <c r="AG156" s="103">
        <f>Site2!H176</f>
        <v>996644.19886072841</v>
      </c>
      <c r="AH156" s="103">
        <f>Site2!I176</f>
        <v>1027588.3495204448</v>
      </c>
      <c r="AI156" s="103">
        <f>Site2!J176</f>
        <v>1062961.0131418931</v>
      </c>
      <c r="AJ156" s="103">
        <f>Site2!K176</f>
        <v>1081759.2696038166</v>
      </c>
      <c r="AK156" s="103">
        <f>Site2!L176</f>
        <v>1112489.1995605356</v>
      </c>
      <c r="AL156" s="103">
        <f>Site2!M176</f>
        <v>1146144.6420401358</v>
      </c>
      <c r="AM156" s="103">
        <f>Site2!N176</f>
        <v>1195333.5380423954</v>
      </c>
      <c r="AN156" s="103">
        <f>Site2!O176</f>
        <v>1220052.9887755557</v>
      </c>
      <c r="AO156" s="103">
        <f>Site2!P176</f>
        <v>1249387.096434223</v>
      </c>
      <c r="AQ156" s="103">
        <f>Site3!E176</f>
        <v>387772.62400000001</v>
      </c>
      <c r="AR156" s="103">
        <f>Site3!F176</f>
        <v>533328.77242950001</v>
      </c>
      <c r="AS156" s="103">
        <f>Site3!G176</f>
        <v>565078.85371837497</v>
      </c>
      <c r="AT156" s="103">
        <f>Site3!H176</f>
        <v>595864.11886753945</v>
      </c>
      <c r="AU156" s="103">
        <f>Site3!I176</f>
        <v>625780.48655393324</v>
      </c>
      <c r="AV156" s="103">
        <f>Site3!J176</f>
        <v>659177.69004833431</v>
      </c>
      <c r="AW156" s="103">
        <f>Site3!K176</f>
        <v>684305.22066051152</v>
      </c>
      <c r="AX156" s="103">
        <f>Site3!L176</f>
        <v>717165.93994633306</v>
      </c>
      <c r="AY156" s="103">
        <f>Site3!M176</f>
        <v>803539.60835670447</v>
      </c>
      <c r="AZ156" s="103">
        <f>Site3!N176</f>
        <v>853333.35584015213</v>
      </c>
      <c r="BA156" s="103">
        <f>Site3!O176</f>
        <v>886460.67730661784</v>
      </c>
      <c r="BB156" s="103">
        <f>Site3!P176</f>
        <v>924579.38679689984</v>
      </c>
      <c r="BD156" s="103">
        <f>Site4!E176</f>
        <v>442161.02149999997</v>
      </c>
      <c r="BE156" s="103">
        <f>Site4!F176</f>
        <v>632100.08131700009</v>
      </c>
      <c r="BF156" s="103">
        <f>Site4!G176</f>
        <v>699761.7124418125</v>
      </c>
      <c r="BG156" s="103">
        <f>Site4!H176</f>
        <v>737846.92556900519</v>
      </c>
      <c r="BH156" s="103">
        <f>Site4!I176</f>
        <v>776093.64195002709</v>
      </c>
      <c r="BI156" s="103">
        <f>Site4!J176</f>
        <v>816696.59291553451</v>
      </c>
      <c r="BJ156" s="103">
        <f>Site4!K176</f>
        <v>849523.75866091927</v>
      </c>
      <c r="BK156" s="103">
        <f>Site4!L176</f>
        <v>939805.98826952674</v>
      </c>
      <c r="BL156" s="103">
        <f>Site4!M176</f>
        <v>986379.87084868224</v>
      </c>
      <c r="BM156" s="103">
        <f>Site4!N176</f>
        <v>1047513.8326484415</v>
      </c>
      <c r="BN156" s="103">
        <f>Site4!O176</f>
        <v>1090781.3270033074</v>
      </c>
      <c r="BO156" s="103">
        <f>Site4!P176</f>
        <v>1139214.7462832727</v>
      </c>
      <c r="BQ156" s="103">
        <f>Site5!E176</f>
        <v>759745.26850000001</v>
      </c>
      <c r="BR156" s="103">
        <f>Site5!F176</f>
        <v>729812.48788199993</v>
      </c>
      <c r="BS156" s="103">
        <f>Site5!G176</f>
        <v>854468.5140071502</v>
      </c>
      <c r="BT156" s="103">
        <f>Site5!H176</f>
        <v>888635.8812164159</v>
      </c>
      <c r="BU156" s="103">
        <f>Site5!I176</f>
        <v>934663.88287609199</v>
      </c>
      <c r="BV156" s="103">
        <f>Site5!J176</f>
        <v>975806.15221833764</v>
      </c>
      <c r="BW156" s="103">
        <f>Site5!K176</f>
        <v>1023284.5339619819</v>
      </c>
      <c r="BX156" s="103">
        <f>Site5!L176</f>
        <v>1064603.8582155777</v>
      </c>
      <c r="BY156" s="103">
        <f>Site5!M176</f>
        <v>1124326.4243748961</v>
      </c>
      <c r="BZ156" s="103">
        <f>Site5!N176</f>
        <v>1219759.7099650386</v>
      </c>
      <c r="CA156" s="103">
        <f>Site5!O176</f>
        <v>1277757.1003707421</v>
      </c>
      <c r="CB156" s="103">
        <f>Site5!P176</f>
        <v>1334955.7838839914</v>
      </c>
      <c r="CD156" s="103">
        <f>Site6!E176</f>
        <v>0</v>
      </c>
      <c r="CE156" s="103">
        <f>Site6!F176</f>
        <v>0</v>
      </c>
      <c r="CF156" s="103">
        <f>Site6!G176</f>
        <v>449859.87343031249</v>
      </c>
      <c r="CG156" s="103">
        <f>Site6!H176</f>
        <v>645924.74589076871</v>
      </c>
      <c r="CH156" s="103">
        <f>Site6!I176</f>
        <v>725407.6164162386</v>
      </c>
      <c r="CI156" s="103">
        <f>Site6!J176</f>
        <v>763290.47038040508</v>
      </c>
      <c r="CJ156" s="103">
        <f>Site6!K176</f>
        <v>803837.63604561402</v>
      </c>
      <c r="CK156" s="103">
        <f>Site6!L176</f>
        <v>833240.23914403445</v>
      </c>
      <c r="CL156" s="103">
        <f>Site6!M176</f>
        <v>875466.86046094075</v>
      </c>
      <c r="CM156" s="103">
        <f>Site6!N176</f>
        <v>918155.23363487539</v>
      </c>
      <c r="CN156" s="103">
        <f>Site6!O176</f>
        <v>977871.68492283532</v>
      </c>
      <c r="CO156" s="103">
        <f>Site6!P176</f>
        <v>1012650.4761869379</v>
      </c>
    </row>
    <row r="157" spans="1:107" s="105" customFormat="1" ht="15.75" thickBot="1" x14ac:dyDescent="0.3">
      <c r="A157" s="104"/>
      <c r="B157" s="18" t="s">
        <v>217</v>
      </c>
      <c r="D157" s="106">
        <f>D21-D156</f>
        <v>238993.02316000033</v>
      </c>
      <c r="E157" s="106">
        <f t="shared" ref="E157:O157" si="34">E21-E156</f>
        <v>200192.98903270019</v>
      </c>
      <c r="F157" s="106">
        <f t="shared" si="34"/>
        <v>251408.22846850008</v>
      </c>
      <c r="G157" s="106">
        <f t="shared" si="34"/>
        <v>214429.59058600198</v>
      </c>
      <c r="H157" s="106">
        <f t="shared" si="34"/>
        <v>237979.07540243398</v>
      </c>
      <c r="I157" s="106">
        <f t="shared" si="34"/>
        <v>233977.00315269269</v>
      </c>
      <c r="J157" s="106">
        <f t="shared" si="34"/>
        <v>306353.89871112723</v>
      </c>
      <c r="K157" s="106">
        <f t="shared" si="34"/>
        <v>305262.40543990396</v>
      </c>
      <c r="L157" s="106">
        <f t="shared" si="34"/>
        <v>290547.430485541</v>
      </c>
      <c r="M157" s="106">
        <f t="shared" si="34"/>
        <v>228476.53123330604</v>
      </c>
      <c r="N157" s="106">
        <f t="shared" si="34"/>
        <v>296397.10450372938</v>
      </c>
      <c r="O157" s="106">
        <f t="shared" si="34"/>
        <v>380491.67334008217</v>
      </c>
      <c r="Q157" s="106">
        <f>Q21-Q156</f>
        <v>136417.56516</v>
      </c>
      <c r="R157" s="106">
        <f t="shared" ref="R157:AB157" si="35">R21-R156</f>
        <v>151575.55315819988</v>
      </c>
      <c r="S157" s="106">
        <f t="shared" si="35"/>
        <v>164394.99438865017</v>
      </c>
      <c r="T157" s="106">
        <f t="shared" si="35"/>
        <v>137316.28755599796</v>
      </c>
      <c r="U157" s="106">
        <f t="shared" si="35"/>
        <v>132143.79955027043</v>
      </c>
      <c r="V157" s="106">
        <f t="shared" si="35"/>
        <v>116765.82942317263</v>
      </c>
      <c r="W157" s="106">
        <f t="shared" si="35"/>
        <v>131725.09348996496</v>
      </c>
      <c r="X157" s="106">
        <f t="shared" si="35"/>
        <v>129954.09301557927</v>
      </c>
      <c r="Y157" s="106">
        <f t="shared" si="35"/>
        <v>127954.30598645145</v>
      </c>
      <c r="Z157" s="106">
        <f t="shared" si="35"/>
        <v>104728.15512332763</v>
      </c>
      <c r="AA157" s="106">
        <f t="shared" si="35"/>
        <v>118279.0049291316</v>
      </c>
      <c r="AB157" s="106">
        <f t="shared" si="35"/>
        <v>120608.15863614529</v>
      </c>
      <c r="AD157" s="106">
        <f t="shared" ref="AD157:AO157" si="36">AD21-AD156</f>
        <v>45795.621999999858</v>
      </c>
      <c r="AE157" s="106">
        <f t="shared" si="36"/>
        <v>26505.936253000051</v>
      </c>
      <c r="AF157" s="106">
        <f t="shared" si="36"/>
        <v>34978.267677499913</v>
      </c>
      <c r="AG157" s="106">
        <f t="shared" si="36"/>
        <v>30343.500393265509</v>
      </c>
      <c r="AH157" s="106">
        <f t="shared" si="36"/>
        <v>26624.212326980545</v>
      </c>
      <c r="AI157" s="106">
        <f t="shared" si="36"/>
        <v>18827.016179782106</v>
      </c>
      <c r="AJ157" s="106">
        <f t="shared" si="36"/>
        <v>27958.55974761839</v>
      </c>
      <c r="AK157" s="106">
        <f t="shared" si="36"/>
        <v>25516.526244455948</v>
      </c>
      <c r="AL157" s="106">
        <f t="shared" si="36"/>
        <v>25539.564619545126</v>
      </c>
      <c r="AM157" s="106">
        <f t="shared" si="36"/>
        <v>10470.313862718875</v>
      </c>
      <c r="AN157" s="106">
        <f t="shared" si="36"/>
        <v>20316.395817048615</v>
      </c>
      <c r="AO157" s="106">
        <f t="shared" si="36"/>
        <v>25998.477369514294</v>
      </c>
      <c r="AQ157" s="106">
        <f t="shared" ref="AQ157:BB157" si="37">AQ21-AQ156</f>
        <v>20843.625999999989</v>
      </c>
      <c r="AR157" s="106">
        <f t="shared" si="37"/>
        <v>-565.29117950005457</v>
      </c>
      <c r="AS157" s="106">
        <f t="shared" si="37"/>
        <v>20476.64521912497</v>
      </c>
      <c r="AT157" s="106">
        <f t="shared" si="37"/>
        <v>23580.404570968472</v>
      </c>
      <c r="AU157" s="106">
        <f t="shared" si="37"/>
        <v>28028.459256282309</v>
      </c>
      <c r="AV157" s="106">
        <f t="shared" si="37"/>
        <v>34466.547024598462</v>
      </c>
      <c r="AW157" s="106">
        <f t="shared" si="37"/>
        <v>49735.060290877358</v>
      </c>
      <c r="AX157" s="106">
        <f t="shared" si="37"/>
        <v>57837.308053353336</v>
      </c>
      <c r="AY157" s="106">
        <f t="shared" si="37"/>
        <v>18103.132492374862</v>
      </c>
      <c r="AZ157" s="106">
        <f t="shared" si="37"/>
        <v>15604.876318361145</v>
      </c>
      <c r="BA157" s="106">
        <f t="shared" si="37"/>
        <v>30436.261126797879</v>
      </c>
      <c r="BB157" s="106">
        <f t="shared" si="37"/>
        <v>46165.820986885345</v>
      </c>
      <c r="BD157" s="69">
        <f t="shared" ref="BD157:BO157" si="38">BD21-BD156</f>
        <v>1043.9785000000265</v>
      </c>
      <c r="BE157" s="69">
        <f t="shared" si="38"/>
        <v>6743.5786829999415</v>
      </c>
      <c r="BF157" s="106">
        <f t="shared" si="38"/>
        <v>35753.121589437593</v>
      </c>
      <c r="BG157" s="106">
        <f t="shared" si="38"/>
        <v>27549.567271235515</v>
      </c>
      <c r="BH157" s="106">
        <f t="shared" si="38"/>
        <v>34088.234284568229</v>
      </c>
      <c r="BI157" s="106">
        <f t="shared" si="38"/>
        <v>38899.393911608495</v>
      </c>
      <c r="BJ157" s="106">
        <f t="shared" si="38"/>
        <v>57076.075139583321</v>
      </c>
      <c r="BK157" s="106">
        <f t="shared" si="38"/>
        <v>18514.622934676707</v>
      </c>
      <c r="BL157" s="106">
        <f t="shared" si="38"/>
        <v>29415.020761856576</v>
      </c>
      <c r="BM157" s="106">
        <f t="shared" si="38"/>
        <v>26563.548040147522</v>
      </c>
      <c r="BN157" s="106">
        <f t="shared" si="38"/>
        <v>47500.042396489996</v>
      </c>
      <c r="BO157" s="106">
        <f t="shared" si="38"/>
        <v>64173.254805737408</v>
      </c>
      <c r="BQ157" s="69">
        <f t="shared" ref="BQ157:CA157" si="39">BQ21-BQ156</f>
        <v>34892.231499999994</v>
      </c>
      <c r="BR157" s="69">
        <f t="shared" si="39"/>
        <v>15933.212118000141</v>
      </c>
      <c r="BS157" s="69">
        <f t="shared" si="39"/>
        <v>-4212.932257150067</v>
      </c>
      <c r="BT157" s="69">
        <f t="shared" si="39"/>
        <v>-6897.6731705719139</v>
      </c>
      <c r="BU157" s="106">
        <f t="shared" si="39"/>
        <v>-4086.9428505619289</v>
      </c>
      <c r="BV157" s="106">
        <f t="shared" si="39"/>
        <v>11388.193208369194</v>
      </c>
      <c r="BW157" s="106">
        <f t="shared" si="39"/>
        <v>21316.568980043055</v>
      </c>
      <c r="BX157" s="106">
        <f t="shared" si="39"/>
        <v>38202.040432064561</v>
      </c>
      <c r="BY157" s="106">
        <f t="shared" si="39"/>
        <v>44752.439538093517</v>
      </c>
      <c r="BZ157" s="106">
        <f t="shared" si="39"/>
        <v>16515.545616979944</v>
      </c>
      <c r="CA157" s="106">
        <f t="shared" si="39"/>
        <v>26648.131709745852</v>
      </c>
      <c r="CB157" s="106">
        <f>CB21-CB156</f>
        <v>45947.479477155488</v>
      </c>
      <c r="CD157" s="69">
        <f>Site6!E177</f>
        <v>0</v>
      </c>
      <c r="CE157" s="69">
        <f>Site6!F177</f>
        <v>0</v>
      </c>
      <c r="CF157" s="69">
        <f>Site6!G177</f>
        <v>18.13185093755601</v>
      </c>
      <c r="CG157" s="69">
        <f>Site6!H177</f>
        <v>2537.5039651063271</v>
      </c>
      <c r="CH157" s="69">
        <f>Site6!I177</f>
        <v>21181.312834894401</v>
      </c>
      <c r="CI157" s="69">
        <f>Site6!J177</f>
        <v>13630.02340516157</v>
      </c>
      <c r="CJ157" s="69">
        <f>Site6!K177</f>
        <v>18542.541063038632</v>
      </c>
      <c r="CK157" s="69">
        <f>Site6!L177</f>
        <v>35237.814759774832</v>
      </c>
      <c r="CL157" s="69">
        <f>Site6!M177</f>
        <v>44782.967087220633</v>
      </c>
      <c r="CM157" s="69">
        <f>Site6!N177</f>
        <v>54594.092271771282</v>
      </c>
      <c r="CN157" s="69">
        <f>Site6!O177</f>
        <v>53217.268524514744</v>
      </c>
      <c r="CO157" s="69">
        <f>Site6!P177</f>
        <v>77598.482064644108</v>
      </c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1:107" ht="16.5" thickTop="1" thickBot="1" x14ac:dyDescent="0.3">
      <c r="A158" s="18"/>
      <c r="B158" s="318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Q158" s="31"/>
    </row>
    <row r="159" spans="1:107" s="105" customFormat="1" ht="15.75" thickBot="1" x14ac:dyDescent="0.3">
      <c r="A159" s="104"/>
      <c r="B159" s="104" t="s">
        <v>344</v>
      </c>
      <c r="D159" s="314">
        <f t="shared" ref="D159:O160" si="40">Q159+AD159+AQ159+BD159+BQ159+CD159</f>
        <v>336000</v>
      </c>
      <c r="E159" s="314">
        <f t="shared" si="40"/>
        <v>574993.02315999987</v>
      </c>
      <c r="F159" s="314">
        <f t="shared" si="40"/>
        <v>775186.01219269994</v>
      </c>
      <c r="G159" s="314">
        <f t="shared" si="40"/>
        <v>1026594.2406611999</v>
      </c>
      <c r="H159" s="314">
        <f t="shared" si="40"/>
        <v>1241023.8312472019</v>
      </c>
      <c r="I159" s="314">
        <f t="shared" si="40"/>
        <v>1479002.9066496356</v>
      </c>
      <c r="J159" s="314">
        <f t="shared" si="40"/>
        <v>1712979.9098023283</v>
      </c>
      <c r="K159" s="314">
        <f t="shared" si="40"/>
        <v>2019333.8085134542</v>
      </c>
      <c r="L159" s="314">
        <f t="shared" si="40"/>
        <v>2324596.2139533586</v>
      </c>
      <c r="M159" s="314">
        <f t="shared" si="40"/>
        <v>2615143.6444389005</v>
      </c>
      <c r="N159" s="314">
        <f t="shared" si="40"/>
        <v>2843620.1756722075</v>
      </c>
      <c r="O159" s="314">
        <f t="shared" si="40"/>
        <v>3140017.2801759359</v>
      </c>
      <c r="Q159" s="315">
        <v>240000</v>
      </c>
      <c r="R159" s="105">
        <f>Q162</f>
        <v>376417.56516</v>
      </c>
      <c r="S159" s="105">
        <f>R162</f>
        <v>527993.11831819988</v>
      </c>
      <c r="T159" s="105">
        <f t="shared" ref="T159:AB159" si="41">S162</f>
        <v>692388.11270685005</v>
      </c>
      <c r="U159" s="105">
        <f t="shared" si="41"/>
        <v>829704.40026284801</v>
      </c>
      <c r="V159" s="105">
        <f t="shared" si="41"/>
        <v>961848.19981311844</v>
      </c>
      <c r="W159" s="105">
        <f t="shared" si="41"/>
        <v>1078614.0292362911</v>
      </c>
      <c r="X159" s="105">
        <f t="shared" si="41"/>
        <v>1210339.122726256</v>
      </c>
      <c r="Y159" s="105">
        <f t="shared" si="41"/>
        <v>1340293.2157418353</v>
      </c>
      <c r="Z159" s="105">
        <f t="shared" si="41"/>
        <v>1468247.5217282868</v>
      </c>
      <c r="AA159" s="105">
        <f t="shared" si="41"/>
        <v>1572975.6768516144</v>
      </c>
      <c r="AB159" s="105">
        <f t="shared" si="41"/>
        <v>1691254.681780746</v>
      </c>
      <c r="AD159" s="315">
        <v>92000</v>
      </c>
      <c r="AE159" s="105">
        <f>AD162</f>
        <v>137795.62199999986</v>
      </c>
      <c r="AF159" s="105">
        <f>AE162</f>
        <v>164301.55825299991</v>
      </c>
      <c r="AG159" s="105">
        <f t="shared" ref="AG159:AO159" si="42">AF162</f>
        <v>199279.82593049982</v>
      </c>
      <c r="AH159" s="105">
        <f t="shared" si="42"/>
        <v>229623.32632376533</v>
      </c>
      <c r="AI159" s="105">
        <f t="shared" si="42"/>
        <v>256247.53865074588</v>
      </c>
      <c r="AJ159" s="105">
        <f t="shared" si="42"/>
        <v>275074.55483052798</v>
      </c>
      <c r="AK159" s="105">
        <f t="shared" si="42"/>
        <v>303033.11457814637</v>
      </c>
      <c r="AL159" s="105">
        <f t="shared" si="42"/>
        <v>328549.64082260232</v>
      </c>
      <c r="AM159" s="105">
        <f t="shared" si="42"/>
        <v>354089.20544214745</v>
      </c>
      <c r="AN159" s="105">
        <f t="shared" si="42"/>
        <v>364559.51930486632</v>
      </c>
      <c r="AO159" s="105">
        <f t="shared" si="42"/>
        <v>384875.91512191494</v>
      </c>
      <c r="AQ159" s="315">
        <v>4000</v>
      </c>
      <c r="AR159" s="105">
        <f>AQ162</f>
        <v>24843.625999999989</v>
      </c>
      <c r="AS159" s="105">
        <f>AR162</f>
        <v>24278.334820499935</v>
      </c>
      <c r="AT159" s="105">
        <f>AS162</f>
        <v>44754.980039624905</v>
      </c>
      <c r="AU159" s="105">
        <f t="shared" ref="AU159:BB159" si="43">AT162</f>
        <v>68335.384610593377</v>
      </c>
      <c r="AV159" s="105">
        <f>AU162</f>
        <v>96363.843866875686</v>
      </c>
      <c r="AW159" s="105">
        <f t="shared" si="43"/>
        <v>130830.39089147415</v>
      </c>
      <c r="AX159" s="105">
        <f t="shared" si="43"/>
        <v>180565.45118235151</v>
      </c>
      <c r="AY159" s="105">
        <f t="shared" si="43"/>
        <v>238402.75923570484</v>
      </c>
      <c r="AZ159" s="105">
        <f t="shared" si="43"/>
        <v>256505.8917280797</v>
      </c>
      <c r="BA159" s="105">
        <f t="shared" si="43"/>
        <v>272110.76804644085</v>
      </c>
      <c r="BB159" s="105">
        <f t="shared" si="43"/>
        <v>302547.02917323873</v>
      </c>
      <c r="BD159" s="315">
        <v>0</v>
      </c>
      <c r="BE159" s="105">
        <f t="shared" ref="BE159:BO159" si="44">BD162</f>
        <v>1043.9785000000265</v>
      </c>
      <c r="BF159" s="105">
        <f t="shared" si="44"/>
        <v>7787.5571829999681</v>
      </c>
      <c r="BG159" s="105">
        <f t="shared" si="44"/>
        <v>43540.678772437561</v>
      </c>
      <c r="BH159" s="105">
        <f t="shared" si="44"/>
        <v>71090.246043673076</v>
      </c>
      <c r="BI159" s="105">
        <f t="shared" si="44"/>
        <v>105178.4803282413</v>
      </c>
      <c r="BJ159" s="105">
        <f t="shared" si="44"/>
        <v>144077.8742398498</v>
      </c>
      <c r="BK159" s="105">
        <f t="shared" si="44"/>
        <v>201153.94937943312</v>
      </c>
      <c r="BL159" s="105">
        <f t="shared" si="44"/>
        <v>219668.57231410983</v>
      </c>
      <c r="BM159" s="105">
        <f t="shared" si="44"/>
        <v>249083.5930759664</v>
      </c>
      <c r="BN159" s="105">
        <f t="shared" si="44"/>
        <v>275647.14111611393</v>
      </c>
      <c r="BO159" s="105">
        <f t="shared" si="44"/>
        <v>323147.18351260392</v>
      </c>
      <c r="BQ159" s="315">
        <v>0</v>
      </c>
      <c r="BR159" s="75">
        <f t="shared" ref="BR159:CB159" si="45">BQ162</f>
        <v>34892.231499999994</v>
      </c>
      <c r="BS159" s="75">
        <f t="shared" si="45"/>
        <v>50825.443618000136</v>
      </c>
      <c r="BT159" s="75">
        <f t="shared" si="45"/>
        <v>46612.511360850069</v>
      </c>
      <c r="BU159" s="75">
        <f t="shared" si="45"/>
        <v>39714.838190278155</v>
      </c>
      <c r="BV159" s="105">
        <f t="shared" si="45"/>
        <v>35627.895339716226</v>
      </c>
      <c r="BW159" s="105">
        <f t="shared" si="45"/>
        <v>47016.088548085419</v>
      </c>
      <c r="BX159" s="105">
        <f t="shared" si="45"/>
        <v>68332.657528128475</v>
      </c>
      <c r="BY159" s="105">
        <f t="shared" si="45"/>
        <v>106534.69796019304</v>
      </c>
      <c r="BZ159" s="105">
        <f t="shared" si="45"/>
        <v>151287.13749828655</v>
      </c>
      <c r="CA159" s="105">
        <f t="shared" si="45"/>
        <v>167802.6831152665</v>
      </c>
      <c r="CB159" s="105">
        <f t="shared" si="45"/>
        <v>194450.81482501235</v>
      </c>
      <c r="CG159" s="105">
        <f t="shared" ref="CG159:CO159" si="46">CF162</f>
        <v>18.13185093755601</v>
      </c>
      <c r="CH159" s="105">
        <f t="shared" si="46"/>
        <v>2555.6358160438831</v>
      </c>
      <c r="CI159" s="105">
        <f t="shared" si="46"/>
        <v>23736.948650938284</v>
      </c>
      <c r="CJ159" s="105">
        <f t="shared" si="46"/>
        <v>37366.972056099854</v>
      </c>
      <c r="CK159" s="105">
        <f t="shared" si="46"/>
        <v>55909.513119138486</v>
      </c>
      <c r="CL159" s="105">
        <f t="shared" si="46"/>
        <v>91147.327878913318</v>
      </c>
      <c r="CM159" s="105">
        <f t="shared" si="46"/>
        <v>135930.29496613395</v>
      </c>
      <c r="CN159" s="105">
        <f t="shared" si="46"/>
        <v>190524.38723790523</v>
      </c>
      <c r="CO159" s="105">
        <f t="shared" si="46"/>
        <v>243741.65576241998</v>
      </c>
    </row>
    <row r="160" spans="1:107" x14ac:dyDescent="0.25">
      <c r="A160" s="18"/>
      <c r="B160" s="18" t="s">
        <v>341</v>
      </c>
      <c r="D160" s="154">
        <f t="shared" si="40"/>
        <v>0</v>
      </c>
      <c r="E160" s="154">
        <f t="shared" si="40"/>
        <v>0</v>
      </c>
      <c r="F160" s="154">
        <f t="shared" si="40"/>
        <v>0</v>
      </c>
      <c r="G160" s="154">
        <f t="shared" si="40"/>
        <v>0</v>
      </c>
      <c r="H160" s="154">
        <f t="shared" si="40"/>
        <v>0</v>
      </c>
      <c r="I160" s="154">
        <f t="shared" si="40"/>
        <v>0</v>
      </c>
      <c r="J160" s="154">
        <f t="shared" si="40"/>
        <v>0</v>
      </c>
      <c r="K160" s="154">
        <f t="shared" si="40"/>
        <v>0</v>
      </c>
      <c r="L160" s="154">
        <f t="shared" si="40"/>
        <v>0</v>
      </c>
      <c r="M160" s="154">
        <f t="shared" si="40"/>
        <v>0</v>
      </c>
      <c r="N160" s="154">
        <f t="shared" si="40"/>
        <v>0</v>
      </c>
      <c r="O160" s="154">
        <f t="shared" si="40"/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Q160" s="48">
        <f>-Loan!E8</f>
        <v>0</v>
      </c>
      <c r="AR160" s="48">
        <f>-Loan!F8</f>
        <v>0</v>
      </c>
      <c r="AS160" s="48">
        <f>-Loan!G8</f>
        <v>0</v>
      </c>
      <c r="AT160" s="48">
        <f>-Loan!H8</f>
        <v>0</v>
      </c>
      <c r="AU160" s="48">
        <f>-Loan!I8</f>
        <v>0</v>
      </c>
      <c r="AV160" s="48">
        <f>-Loan!J8</f>
        <v>0</v>
      </c>
      <c r="AW160" s="48">
        <f>-Loan!K8</f>
        <v>0</v>
      </c>
      <c r="AX160" s="48">
        <f>-Loan!L8</f>
        <v>0</v>
      </c>
      <c r="AY160" s="48">
        <f>-Loan!M8</f>
        <v>0</v>
      </c>
      <c r="AZ160" s="48">
        <f>-Loan!N8</f>
        <v>0</v>
      </c>
      <c r="BA160" s="48">
        <f>-Loan!O8</f>
        <v>0</v>
      </c>
      <c r="BB160" s="48">
        <f>-Loan!P8</f>
        <v>0</v>
      </c>
      <c r="BD160" s="48">
        <f>-Loan!E8</f>
        <v>0</v>
      </c>
      <c r="BE160" s="48">
        <f>-Loan!F8</f>
        <v>0</v>
      </c>
      <c r="BF160" s="48">
        <f>-Loan!G8</f>
        <v>0</v>
      </c>
      <c r="BG160" s="48">
        <f>-Loan!H8</f>
        <v>0</v>
      </c>
      <c r="BH160" s="48">
        <f>-Loan!I8</f>
        <v>0</v>
      </c>
      <c r="BI160" s="48">
        <f>-Loan!J8</f>
        <v>0</v>
      </c>
      <c r="BJ160" s="48">
        <f>-Loan!K8</f>
        <v>0</v>
      </c>
      <c r="BK160" s="48">
        <f>-Loan!L8</f>
        <v>0</v>
      </c>
      <c r="BL160" s="48">
        <f>-Loan!M8</f>
        <v>0</v>
      </c>
      <c r="BM160" s="48">
        <f>-Loan!N8</f>
        <v>0</v>
      </c>
      <c r="BN160" s="48">
        <f>-Loan!O8</f>
        <v>0</v>
      </c>
      <c r="BO160" s="48">
        <f>-Loan!P8</f>
        <v>0</v>
      </c>
      <c r="BQ160" s="48">
        <f>-Loan!F10</f>
        <v>0</v>
      </c>
      <c r="BR160" s="48">
        <f>-Loan!G10</f>
        <v>0</v>
      </c>
      <c r="BS160" s="48">
        <f>-Loan!H10</f>
        <v>0</v>
      </c>
      <c r="BT160" s="48">
        <f>-Loan!I10</f>
        <v>0</v>
      </c>
      <c r="BU160" s="48">
        <f>-Loan!J10</f>
        <v>0</v>
      </c>
      <c r="BV160" s="48">
        <f>-Loan!K10</f>
        <v>0</v>
      </c>
      <c r="BW160" s="48">
        <f>-Loan!L10</f>
        <v>0</v>
      </c>
      <c r="BX160" s="48">
        <f>-Loan!M10</f>
        <v>0</v>
      </c>
      <c r="BY160" s="48">
        <f>-Loan!N10</f>
        <v>0</v>
      </c>
      <c r="BZ160" s="48">
        <f>-Loan!O10</f>
        <v>0</v>
      </c>
      <c r="CA160" s="48">
        <f>-Loan!P10</f>
        <v>0</v>
      </c>
      <c r="CB160" s="48">
        <f>-Loan!Q10</f>
        <v>0</v>
      </c>
      <c r="CD160" s="75">
        <v>0</v>
      </c>
      <c r="CE160" s="75"/>
      <c r="CF160" s="48">
        <f>-Loan!G11</f>
        <v>0</v>
      </c>
      <c r="CG160" s="48">
        <f>-Loan!J11</f>
        <v>0</v>
      </c>
      <c r="CH160" s="48">
        <f>-Loan!K11</f>
        <v>0</v>
      </c>
      <c r="CI160" s="48">
        <f>-Loan!L11</f>
        <v>0</v>
      </c>
      <c r="CJ160" s="48">
        <f>-Loan!M11</f>
        <v>0</v>
      </c>
      <c r="CK160" s="48">
        <f>-Loan!N11</f>
        <v>0</v>
      </c>
      <c r="CL160" s="48">
        <f>-Loan!O11</f>
        <v>0</v>
      </c>
      <c r="CM160" s="48">
        <f>-Loan!P11</f>
        <v>0</v>
      </c>
      <c r="CN160" s="48">
        <f>-Loan!Q11</f>
        <v>0</v>
      </c>
      <c r="CO160" s="48">
        <f>-Loan!R11</f>
        <v>0</v>
      </c>
      <c r="CQ160" s="31"/>
    </row>
    <row r="161" spans="1:95" x14ac:dyDescent="0.25">
      <c r="A161" s="18"/>
      <c r="B161" s="18" t="s">
        <v>343</v>
      </c>
      <c r="D161" s="11">
        <f t="shared" ref="D161:D171" si="47">Q161+AD161+AQ161+BD161+BQ161+CD161</f>
        <v>0</v>
      </c>
      <c r="E161" s="11">
        <f t="shared" ref="E161:O162" si="48">R161+AE161+AR161+BE161+BR161+CE161</f>
        <v>0</v>
      </c>
      <c r="F161" s="11">
        <f t="shared" si="48"/>
        <v>0</v>
      </c>
      <c r="G161" s="11">
        <f t="shared" si="48"/>
        <v>0</v>
      </c>
      <c r="H161" s="11">
        <f t="shared" si="48"/>
        <v>0</v>
      </c>
      <c r="I161" s="11">
        <f t="shared" si="48"/>
        <v>0</v>
      </c>
      <c r="J161" s="11">
        <f t="shared" si="48"/>
        <v>0</v>
      </c>
      <c r="K161" s="11">
        <f t="shared" si="48"/>
        <v>0</v>
      </c>
      <c r="L161" s="11">
        <f t="shared" si="48"/>
        <v>0</v>
      </c>
      <c r="M161" s="11">
        <f t="shared" si="48"/>
        <v>0</v>
      </c>
      <c r="N161" s="11">
        <f t="shared" si="48"/>
        <v>0</v>
      </c>
      <c r="O161" s="11">
        <f t="shared" si="48"/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Q161" s="32">
        <f>Loan!E24</f>
        <v>0</v>
      </c>
      <c r="AR161" s="32">
        <f>Loan!F24</f>
        <v>0</v>
      </c>
      <c r="AS161" s="32">
        <v>0</v>
      </c>
      <c r="AT161" s="32">
        <v>0</v>
      </c>
      <c r="AU161" s="32">
        <v>0</v>
      </c>
      <c r="AV161" s="32">
        <f>Loan!J24</f>
        <v>0</v>
      </c>
      <c r="AW161" s="32">
        <f>Loan!K24</f>
        <v>0</v>
      </c>
      <c r="AX161" s="32">
        <f>Loan!L24</f>
        <v>0</v>
      </c>
      <c r="AY161" s="32">
        <f>Loan!M24</f>
        <v>0</v>
      </c>
      <c r="AZ161" s="32">
        <f>Loan!N24</f>
        <v>0</v>
      </c>
      <c r="BA161" s="32">
        <f>Loan!O24</f>
        <v>0</v>
      </c>
      <c r="BB161" s="32">
        <f>Loan!P24</f>
        <v>0</v>
      </c>
      <c r="BD161" s="32">
        <f>Loan!E24</f>
        <v>0</v>
      </c>
      <c r="BE161" s="32">
        <f>Loan!F24</f>
        <v>0</v>
      </c>
      <c r="BF161" s="32">
        <f>Loan!G24</f>
        <v>0</v>
      </c>
      <c r="BG161" s="32">
        <f>Loan!H24</f>
        <v>0</v>
      </c>
      <c r="BH161" s="32">
        <f>Loan!I24</f>
        <v>0</v>
      </c>
      <c r="BI161" s="32">
        <f>Loan!J24</f>
        <v>0</v>
      </c>
      <c r="BJ161" s="32">
        <f>Loan!K24</f>
        <v>0</v>
      </c>
      <c r="BK161" s="32">
        <f>Loan!L24</f>
        <v>0</v>
      </c>
      <c r="BL161" s="32">
        <f>Loan!M24</f>
        <v>0</v>
      </c>
      <c r="BM161" s="32">
        <f>Loan!N24</f>
        <v>0</v>
      </c>
      <c r="BN161" s="32">
        <f>Loan!O24</f>
        <v>0</v>
      </c>
      <c r="BO161" s="32">
        <f>Loan!P24</f>
        <v>0</v>
      </c>
      <c r="BQ161" s="32">
        <f>Loan!F24</f>
        <v>0</v>
      </c>
      <c r="BR161" s="32">
        <f>Loan!G24</f>
        <v>0</v>
      </c>
      <c r="BS161" s="32">
        <f>Loan!H24</f>
        <v>0</v>
      </c>
      <c r="BT161" s="32">
        <f>Loan!I24</f>
        <v>0</v>
      </c>
      <c r="BU161" s="32">
        <f>Loan!J24</f>
        <v>0</v>
      </c>
      <c r="BV161" s="32">
        <f>Loan!K24</f>
        <v>0</v>
      </c>
      <c r="BW161" s="32">
        <f>Loan!L24</f>
        <v>0</v>
      </c>
      <c r="BX161" s="32">
        <f>Loan!M24</f>
        <v>0</v>
      </c>
      <c r="BY161" s="32">
        <f>Loan!N24</f>
        <v>0</v>
      </c>
      <c r="BZ161" s="32">
        <f>Loan!O24</f>
        <v>0</v>
      </c>
      <c r="CA161" s="32">
        <f>Loan!P24</f>
        <v>0</v>
      </c>
      <c r="CB161" s="32">
        <f>Loan!Q24</f>
        <v>0</v>
      </c>
      <c r="CD161" s="107">
        <v>0</v>
      </c>
      <c r="CE161" s="107"/>
      <c r="CF161" s="32">
        <f>Loan!G24</f>
        <v>0</v>
      </c>
      <c r="CG161" s="32">
        <f>Loan!J24</f>
        <v>0</v>
      </c>
      <c r="CH161" s="32">
        <f>Loan!K24</f>
        <v>0</v>
      </c>
      <c r="CI161" s="32">
        <f>Loan!L24</f>
        <v>0</v>
      </c>
      <c r="CJ161" s="32">
        <f>Loan!M24</f>
        <v>0</v>
      </c>
      <c r="CK161" s="32">
        <f>Loan!N24</f>
        <v>0</v>
      </c>
      <c r="CL161" s="32">
        <f>Loan!O24</f>
        <v>0</v>
      </c>
      <c r="CM161" s="32">
        <f>Loan!P24</f>
        <v>0</v>
      </c>
      <c r="CN161" s="32">
        <f>Loan!Q24</f>
        <v>0</v>
      </c>
      <c r="CO161" s="32">
        <f>Loan!R24</f>
        <v>0</v>
      </c>
      <c r="CQ161" s="31"/>
    </row>
    <row r="162" spans="1:95" s="160" customFormat="1" x14ac:dyDescent="0.25">
      <c r="A162" s="169"/>
      <c r="B162" s="169" t="s">
        <v>345</v>
      </c>
      <c r="D162" s="105">
        <f t="shared" si="47"/>
        <v>574993.02315999987</v>
      </c>
      <c r="E162" s="105">
        <f t="shared" si="48"/>
        <v>775186.01219269994</v>
      </c>
      <c r="F162" s="105">
        <f t="shared" si="48"/>
        <v>1026594.2406611999</v>
      </c>
      <c r="G162" s="105">
        <f t="shared" si="48"/>
        <v>1241023.8312472019</v>
      </c>
      <c r="H162" s="105">
        <f t="shared" si="48"/>
        <v>1479002.9066496356</v>
      </c>
      <c r="I162" s="105">
        <f t="shared" si="48"/>
        <v>1712979.9098023283</v>
      </c>
      <c r="J162" s="105">
        <f t="shared" si="48"/>
        <v>2019333.8085134542</v>
      </c>
      <c r="K162" s="105">
        <f t="shared" si="48"/>
        <v>2324596.2139533586</v>
      </c>
      <c r="L162" s="105">
        <f t="shared" si="48"/>
        <v>2615143.6444389005</v>
      </c>
      <c r="M162" s="105">
        <f t="shared" si="48"/>
        <v>2843620.1756722075</v>
      </c>
      <c r="N162" s="105">
        <f t="shared" si="48"/>
        <v>3140017.2801759359</v>
      </c>
      <c r="O162" s="105">
        <f t="shared" si="48"/>
        <v>3520508.9535160181</v>
      </c>
      <c r="Q162" s="160">
        <f>Q157+SUM(Q159:Q161)</f>
        <v>376417.56516</v>
      </c>
      <c r="R162" s="160">
        <f>SUM(R159:R161)+R157</f>
        <v>527993.11831819988</v>
      </c>
      <c r="S162" s="160">
        <f t="shared" ref="S162:AB162" si="49">SUM(S159:S161)+S157</f>
        <v>692388.11270685005</v>
      </c>
      <c r="T162" s="160">
        <f t="shared" si="49"/>
        <v>829704.40026284801</v>
      </c>
      <c r="U162" s="160">
        <f t="shared" si="49"/>
        <v>961848.19981311844</v>
      </c>
      <c r="V162" s="160">
        <f t="shared" si="49"/>
        <v>1078614.0292362911</v>
      </c>
      <c r="W162" s="160">
        <f t="shared" si="49"/>
        <v>1210339.122726256</v>
      </c>
      <c r="X162" s="160">
        <f t="shared" si="49"/>
        <v>1340293.2157418353</v>
      </c>
      <c r="Y162" s="160">
        <f t="shared" si="49"/>
        <v>1468247.5217282868</v>
      </c>
      <c r="Z162" s="160">
        <f t="shared" si="49"/>
        <v>1572975.6768516144</v>
      </c>
      <c r="AA162" s="160">
        <f t="shared" si="49"/>
        <v>1691254.681780746</v>
      </c>
      <c r="AB162" s="160">
        <f t="shared" si="49"/>
        <v>1811862.8404168913</v>
      </c>
      <c r="AD162" s="160">
        <f>AD157+SUM(AD159:AD161)</f>
        <v>137795.62199999986</v>
      </c>
      <c r="AE162" s="160">
        <f>AE157+SUM(AE159:AE161)</f>
        <v>164301.55825299991</v>
      </c>
      <c r="AF162" s="160">
        <f>AF157+SUM(AF159:AF161)</f>
        <v>199279.82593049982</v>
      </c>
      <c r="AG162" s="160">
        <f t="shared" ref="AG162:AO162" si="50">AG157+SUM(AG159:AG161)</f>
        <v>229623.32632376533</v>
      </c>
      <c r="AH162" s="160">
        <f t="shared" si="50"/>
        <v>256247.53865074588</v>
      </c>
      <c r="AI162" s="160">
        <f t="shared" si="50"/>
        <v>275074.55483052798</v>
      </c>
      <c r="AJ162" s="160">
        <f t="shared" si="50"/>
        <v>303033.11457814637</v>
      </c>
      <c r="AK162" s="160">
        <f t="shared" si="50"/>
        <v>328549.64082260232</v>
      </c>
      <c r="AL162" s="160">
        <f t="shared" si="50"/>
        <v>354089.20544214745</v>
      </c>
      <c r="AM162" s="160">
        <f t="shared" si="50"/>
        <v>364559.51930486632</v>
      </c>
      <c r="AN162" s="160">
        <f t="shared" si="50"/>
        <v>384875.91512191494</v>
      </c>
      <c r="AO162" s="160">
        <f t="shared" si="50"/>
        <v>410874.39249142923</v>
      </c>
      <c r="AQ162" s="160">
        <f>AQ157+SUM(AQ159:AQ161)</f>
        <v>24843.625999999989</v>
      </c>
      <c r="AR162" s="160">
        <f t="shared" ref="AR162:BB162" si="51">AR157+SUM(AR159:AR161)</f>
        <v>24278.334820499935</v>
      </c>
      <c r="AS162" s="160">
        <f t="shared" si="51"/>
        <v>44754.980039624905</v>
      </c>
      <c r="AT162" s="160">
        <f t="shared" si="51"/>
        <v>68335.384610593377</v>
      </c>
      <c r="AU162" s="160">
        <f t="shared" si="51"/>
        <v>96363.843866875686</v>
      </c>
      <c r="AV162" s="160">
        <f t="shared" si="51"/>
        <v>130830.39089147415</v>
      </c>
      <c r="AW162" s="160">
        <f t="shared" si="51"/>
        <v>180565.45118235151</v>
      </c>
      <c r="AX162" s="160">
        <f t="shared" si="51"/>
        <v>238402.75923570484</v>
      </c>
      <c r="AY162" s="160">
        <f t="shared" si="51"/>
        <v>256505.8917280797</v>
      </c>
      <c r="AZ162" s="160">
        <f t="shared" si="51"/>
        <v>272110.76804644085</v>
      </c>
      <c r="BA162" s="160">
        <f t="shared" si="51"/>
        <v>302547.02917323873</v>
      </c>
      <c r="BB162" s="160">
        <f t="shared" si="51"/>
        <v>348712.85016012407</v>
      </c>
      <c r="BD162" s="24">
        <f>BD157+SUM(BD159:BD161)</f>
        <v>1043.9785000000265</v>
      </c>
      <c r="BE162" s="24">
        <f t="shared" ref="BE162:BO162" si="52">BE157+SUM(BE159:BE161)</f>
        <v>7787.5571829999681</v>
      </c>
      <c r="BF162" s="24">
        <f t="shared" si="52"/>
        <v>43540.678772437561</v>
      </c>
      <c r="BG162" s="24">
        <f t="shared" si="52"/>
        <v>71090.246043673076</v>
      </c>
      <c r="BH162" s="24">
        <f t="shared" si="52"/>
        <v>105178.4803282413</v>
      </c>
      <c r="BI162" s="24">
        <f t="shared" si="52"/>
        <v>144077.8742398498</v>
      </c>
      <c r="BJ162" s="24">
        <f t="shared" si="52"/>
        <v>201153.94937943312</v>
      </c>
      <c r="BK162" s="24">
        <f t="shared" si="52"/>
        <v>219668.57231410983</v>
      </c>
      <c r="BL162" s="24">
        <f t="shared" si="52"/>
        <v>249083.5930759664</v>
      </c>
      <c r="BM162" s="24">
        <f t="shared" si="52"/>
        <v>275647.14111611393</v>
      </c>
      <c r="BN162" s="24">
        <f t="shared" si="52"/>
        <v>323147.18351260392</v>
      </c>
      <c r="BO162" s="24">
        <f t="shared" si="52"/>
        <v>387320.43831834133</v>
      </c>
      <c r="BQ162" s="75">
        <f>BQ157+SUM(BQ159:BQ161)</f>
        <v>34892.231499999994</v>
      </c>
      <c r="BR162" s="75">
        <f t="shared" ref="BR162:CB162" si="53">BR157+SUM(BR159:BR161)</f>
        <v>50825.443618000136</v>
      </c>
      <c r="BS162" s="75">
        <f t="shared" si="53"/>
        <v>46612.511360850069</v>
      </c>
      <c r="BT162" s="75">
        <f t="shared" si="53"/>
        <v>39714.838190278155</v>
      </c>
      <c r="BU162" s="75">
        <f t="shared" si="53"/>
        <v>35627.895339716226</v>
      </c>
      <c r="BV162" s="75">
        <f t="shared" si="53"/>
        <v>47016.088548085419</v>
      </c>
      <c r="BW162" s="75">
        <f t="shared" si="53"/>
        <v>68332.657528128475</v>
      </c>
      <c r="BX162" s="75">
        <f t="shared" si="53"/>
        <v>106534.69796019304</v>
      </c>
      <c r="BY162" s="75">
        <f t="shared" si="53"/>
        <v>151287.13749828655</v>
      </c>
      <c r="BZ162" s="75">
        <f t="shared" si="53"/>
        <v>167802.6831152665</v>
      </c>
      <c r="CA162" s="75">
        <f t="shared" si="53"/>
        <v>194450.81482501235</v>
      </c>
      <c r="CB162" s="75">
        <f t="shared" si="53"/>
        <v>240398.29430216784</v>
      </c>
      <c r="CD162" s="75"/>
      <c r="CE162" s="75"/>
      <c r="CF162" s="105">
        <f t="shared" ref="CF162:CO162" si="54">CF157+SUM(CF159:CF161)</f>
        <v>18.13185093755601</v>
      </c>
      <c r="CG162" s="75">
        <f t="shared" si="54"/>
        <v>2555.6358160438831</v>
      </c>
      <c r="CH162" s="75">
        <f t="shared" si="54"/>
        <v>23736.948650938284</v>
      </c>
      <c r="CI162" s="75">
        <f t="shared" si="54"/>
        <v>37366.972056099854</v>
      </c>
      <c r="CJ162" s="75">
        <f t="shared" si="54"/>
        <v>55909.513119138486</v>
      </c>
      <c r="CK162" s="75">
        <f t="shared" si="54"/>
        <v>91147.327878913318</v>
      </c>
      <c r="CL162" s="75">
        <f t="shared" si="54"/>
        <v>135930.29496613395</v>
      </c>
      <c r="CM162" s="75">
        <f t="shared" si="54"/>
        <v>190524.38723790523</v>
      </c>
      <c r="CN162" s="75">
        <f t="shared" si="54"/>
        <v>243741.65576241998</v>
      </c>
      <c r="CO162" s="75">
        <f t="shared" si="54"/>
        <v>321340.13782706409</v>
      </c>
      <c r="CQ162" s="105"/>
    </row>
    <row r="163" spans="1:95" x14ac:dyDescent="0.25">
      <c r="A163" s="18"/>
      <c r="B163" s="18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Q163" s="48"/>
      <c r="R163" s="48"/>
      <c r="S163" s="48"/>
      <c r="T163" s="48"/>
      <c r="U163" s="48"/>
      <c r="V163" s="48"/>
      <c r="W163" s="46"/>
      <c r="X163" s="46"/>
      <c r="Y163" s="46"/>
      <c r="Z163" s="46"/>
      <c r="AA163" s="46"/>
      <c r="AB163" s="46"/>
      <c r="AE163" s="48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Q163" s="31"/>
    </row>
    <row r="164" spans="1:95" x14ac:dyDescent="0.25">
      <c r="A164" s="18"/>
      <c r="B164" s="18" t="s">
        <v>522</v>
      </c>
      <c r="D164" s="48">
        <f t="shared" si="47"/>
        <v>420</v>
      </c>
      <c r="E164" s="48">
        <f t="shared" ref="E164:O166" si="55">R164+AE164+AR164+BE164+BR164+CE164</f>
        <v>470</v>
      </c>
      <c r="F164" s="48">
        <f t="shared" si="55"/>
        <v>550</v>
      </c>
      <c r="G164" s="48">
        <f t="shared" si="55"/>
        <v>590</v>
      </c>
      <c r="H164" s="48">
        <f t="shared" si="55"/>
        <v>610</v>
      </c>
      <c r="I164" s="48">
        <f t="shared" si="55"/>
        <v>650</v>
      </c>
      <c r="J164" s="48">
        <f t="shared" si="55"/>
        <v>660</v>
      </c>
      <c r="K164" s="48">
        <f t="shared" si="55"/>
        <v>690</v>
      </c>
      <c r="L164" s="48">
        <f t="shared" si="55"/>
        <v>710</v>
      </c>
      <c r="M164" s="48">
        <f t="shared" si="55"/>
        <v>740</v>
      </c>
      <c r="N164" s="48">
        <f t="shared" si="55"/>
        <v>760</v>
      </c>
      <c r="O164" s="48">
        <f t="shared" si="55"/>
        <v>790</v>
      </c>
      <c r="Q164" s="48">
        <f>Assumptions!E11</f>
        <v>170</v>
      </c>
      <c r="R164" s="48">
        <f>Assumptions!F11</f>
        <v>170</v>
      </c>
      <c r="S164" s="48">
        <f>Assumptions!G11</f>
        <v>170</v>
      </c>
      <c r="T164" s="48">
        <f>Assumptions!H11</f>
        <v>170</v>
      </c>
      <c r="U164" s="48">
        <f>Assumptions!I11</f>
        <v>180</v>
      </c>
      <c r="V164" s="48">
        <f>Assumptions!J11</f>
        <v>180</v>
      </c>
      <c r="W164" s="48">
        <f>Assumptions!K11</f>
        <v>190</v>
      </c>
      <c r="X164" s="48">
        <f>Assumptions!L11</f>
        <v>190</v>
      </c>
      <c r="Y164" s="48">
        <f>Assumptions!M11</f>
        <v>190</v>
      </c>
      <c r="Z164" s="48">
        <f>Assumptions!N11</f>
        <v>200</v>
      </c>
      <c r="AA164" s="48">
        <f>Assumptions!O11</f>
        <v>200</v>
      </c>
      <c r="AB164" s="48">
        <f>Assumptions!P11</f>
        <v>200</v>
      </c>
      <c r="AD164">
        <f>Assumptions!E22</f>
        <v>110</v>
      </c>
      <c r="AE164">
        <f>Assumptions!F22</f>
        <v>110</v>
      </c>
      <c r="AF164">
        <f>Assumptions!G22</f>
        <v>110</v>
      </c>
      <c r="AG164">
        <f>Assumptions!H22</f>
        <v>120</v>
      </c>
      <c r="AH164">
        <f>Assumptions!I22</f>
        <v>120</v>
      </c>
      <c r="AI164">
        <f>Assumptions!J22</f>
        <v>120</v>
      </c>
      <c r="AJ164">
        <f>Assumptions!K22</f>
        <v>120</v>
      </c>
      <c r="AK164">
        <f>Assumptions!L22</f>
        <v>130</v>
      </c>
      <c r="AL164">
        <f>Assumptions!M22</f>
        <v>130</v>
      </c>
      <c r="AM164">
        <f>Assumptions!N22</f>
        <v>130</v>
      </c>
      <c r="AN164">
        <f>Assumptions!O22</f>
        <v>130</v>
      </c>
      <c r="AO164">
        <f>Assumptions!P22</f>
        <v>140</v>
      </c>
      <c r="AQ164">
        <f>Assumptions!E33</f>
        <v>50</v>
      </c>
      <c r="AR164">
        <f>Assumptions!F33</f>
        <v>60</v>
      </c>
      <c r="AS164">
        <f>Assumptions!G33</f>
        <v>70</v>
      </c>
      <c r="AT164">
        <f>Assumptions!H33</f>
        <v>70</v>
      </c>
      <c r="AU164">
        <f>Assumptions!I33</f>
        <v>70</v>
      </c>
      <c r="AV164">
        <f>Assumptions!J33</f>
        <v>80</v>
      </c>
      <c r="AW164">
        <f>Assumptions!K33</f>
        <v>80</v>
      </c>
      <c r="AX164">
        <f>Assumptions!L33</f>
        <v>80</v>
      </c>
      <c r="AY164">
        <f>Assumptions!M33</f>
        <v>90</v>
      </c>
      <c r="AZ164">
        <f>Assumptions!N33</f>
        <v>90</v>
      </c>
      <c r="BA164">
        <f>Assumptions!O33</f>
        <v>100</v>
      </c>
      <c r="BB164">
        <f>Assumptions!P33</f>
        <v>100</v>
      </c>
      <c r="BD164">
        <f>Assumptions!E44</f>
        <v>50</v>
      </c>
      <c r="BE164">
        <f>Assumptions!F44</f>
        <v>70</v>
      </c>
      <c r="BF164">
        <f>Assumptions!G44</f>
        <v>80</v>
      </c>
      <c r="BG164">
        <f>Assumptions!H44</f>
        <v>90</v>
      </c>
      <c r="BH164">
        <f>Assumptions!I44</f>
        <v>90</v>
      </c>
      <c r="BI164">
        <f>Assumptions!J44</f>
        <v>100</v>
      </c>
      <c r="BJ164">
        <f>Assumptions!K44</f>
        <v>100</v>
      </c>
      <c r="BK164">
        <f>Assumptions!L44</f>
        <v>110</v>
      </c>
      <c r="BL164">
        <f>Assumptions!M44</f>
        <v>110</v>
      </c>
      <c r="BM164">
        <f>Assumptions!N44</f>
        <v>120</v>
      </c>
      <c r="BN164">
        <f>Assumptions!O44</f>
        <v>120</v>
      </c>
      <c r="BO164">
        <f>Assumptions!P44</f>
        <v>130</v>
      </c>
      <c r="BQ164" s="24">
        <f>Assumptions!E55</f>
        <v>40</v>
      </c>
      <c r="BR164" s="24">
        <f>Assumptions!F55</f>
        <v>60</v>
      </c>
      <c r="BS164" s="24">
        <f>Assumptions!G55</f>
        <v>70</v>
      </c>
      <c r="BT164" s="24">
        <f>Assumptions!H55</f>
        <v>70</v>
      </c>
      <c r="BU164" s="24">
        <f>Assumptions!I55</f>
        <v>70</v>
      </c>
      <c r="BV164">
        <f>Assumptions!J55</f>
        <v>80</v>
      </c>
      <c r="BW164">
        <f>Assumptions!K55</f>
        <v>80</v>
      </c>
      <c r="BX164">
        <f>Assumptions!L55</f>
        <v>80</v>
      </c>
      <c r="BY164">
        <f>Assumptions!M55</f>
        <v>90</v>
      </c>
      <c r="BZ164">
        <f>Assumptions!N55</f>
        <v>90</v>
      </c>
      <c r="CA164">
        <f>Assumptions!O55</f>
        <v>100</v>
      </c>
      <c r="CB164">
        <f>Assumptions!P55</f>
        <v>100</v>
      </c>
      <c r="CD164" s="24"/>
      <c r="CE164" s="24"/>
      <c r="CF164">
        <f>Assumptions!G66</f>
        <v>50</v>
      </c>
      <c r="CG164">
        <f>Assumptions!H66</f>
        <v>70</v>
      </c>
      <c r="CH164">
        <f>Assumptions!I66</f>
        <v>80</v>
      </c>
      <c r="CI164">
        <f>Assumptions!J66</f>
        <v>90</v>
      </c>
      <c r="CJ164">
        <f>Assumptions!K66</f>
        <v>90</v>
      </c>
      <c r="CK164">
        <f>Assumptions!L66</f>
        <v>100</v>
      </c>
      <c r="CL164">
        <f>Assumptions!M66</f>
        <v>100</v>
      </c>
      <c r="CM164">
        <f>Assumptions!N66</f>
        <v>110</v>
      </c>
      <c r="CN164">
        <f>Assumptions!O66</f>
        <v>110</v>
      </c>
      <c r="CO164">
        <f>Assumptions!P66</f>
        <v>120</v>
      </c>
    </row>
    <row r="165" spans="1:95" x14ac:dyDescent="0.25">
      <c r="A165" s="18"/>
      <c r="B165" s="18" t="s">
        <v>521</v>
      </c>
      <c r="D165" s="49">
        <f t="shared" si="47"/>
        <v>330</v>
      </c>
      <c r="E165" s="49">
        <f t="shared" si="55"/>
        <v>385</v>
      </c>
      <c r="F165" s="49">
        <f t="shared" si="55"/>
        <v>450</v>
      </c>
      <c r="G165" s="49">
        <f t="shared" si="55"/>
        <v>480</v>
      </c>
      <c r="H165" s="49">
        <f t="shared" si="55"/>
        <v>510</v>
      </c>
      <c r="I165" s="49">
        <f t="shared" si="55"/>
        <v>510</v>
      </c>
      <c r="J165" s="49">
        <f t="shared" si="55"/>
        <v>542</v>
      </c>
      <c r="K165" s="49">
        <f t="shared" si="55"/>
        <v>554</v>
      </c>
      <c r="L165" s="49">
        <f t="shared" si="55"/>
        <v>581</v>
      </c>
      <c r="M165" s="49">
        <f t="shared" si="55"/>
        <v>598</v>
      </c>
      <c r="N165" s="49">
        <f t="shared" si="55"/>
        <v>627</v>
      </c>
      <c r="O165" s="49">
        <f t="shared" si="55"/>
        <v>648</v>
      </c>
      <c r="Q165" s="49">
        <f>Assumptions!E12</f>
        <v>130</v>
      </c>
      <c r="R165" s="49">
        <f>Assumptions!F12</f>
        <v>136</v>
      </c>
      <c r="S165" s="49">
        <f>Assumptions!G12</f>
        <v>142</v>
      </c>
      <c r="T165" s="49">
        <f>Assumptions!H12</f>
        <v>148</v>
      </c>
      <c r="U165" s="49">
        <f>Assumptions!I12</f>
        <v>144</v>
      </c>
      <c r="V165" s="49">
        <f>Assumptions!J12</f>
        <v>150</v>
      </c>
      <c r="W165" s="49">
        <f>Assumptions!K12</f>
        <v>147</v>
      </c>
      <c r="X165" s="49">
        <f>Assumptions!L12</f>
        <v>154</v>
      </c>
      <c r="Y165" s="49">
        <f>Assumptions!M12</f>
        <v>161</v>
      </c>
      <c r="Z165" s="49">
        <f>Assumptions!N12</f>
        <v>158</v>
      </c>
      <c r="AA165" s="49">
        <f>Assumptions!O12</f>
        <v>165</v>
      </c>
      <c r="AB165" s="49">
        <f>Assumptions!P12</f>
        <v>172</v>
      </c>
      <c r="AD165" s="42">
        <f>Assumptions!E23</f>
        <v>90</v>
      </c>
      <c r="AE165" s="42">
        <f>Assumptions!F23</f>
        <v>94</v>
      </c>
      <c r="AF165" s="42">
        <f>Assumptions!G23</f>
        <v>98</v>
      </c>
      <c r="AG165" s="42">
        <f>Assumptions!H23</f>
        <v>92</v>
      </c>
      <c r="AH165" s="42">
        <f>Assumptions!I23</f>
        <v>96</v>
      </c>
      <c r="AI165" s="42">
        <f>Assumptions!J23</f>
        <v>100</v>
      </c>
      <c r="AJ165" s="42">
        <f>Assumptions!K23</f>
        <v>104</v>
      </c>
      <c r="AK165" s="42">
        <f>Assumptions!L23</f>
        <v>98</v>
      </c>
      <c r="AL165" s="42">
        <f>Assumptions!M23</f>
        <v>103</v>
      </c>
      <c r="AM165" s="42">
        <f>Assumptions!N23</f>
        <v>108</v>
      </c>
      <c r="AN165" s="42">
        <f>Assumptions!O23</f>
        <v>113</v>
      </c>
      <c r="AO165" s="42">
        <f>Assumptions!P23</f>
        <v>108</v>
      </c>
      <c r="AQ165" s="42">
        <f>Assumptions!E34</f>
        <v>35</v>
      </c>
      <c r="AR165" s="42">
        <f>Assumptions!F34</f>
        <v>50</v>
      </c>
      <c r="AS165" s="42">
        <f>Assumptions!G34</f>
        <v>50</v>
      </c>
      <c r="AT165" s="42">
        <f>Assumptions!H34</f>
        <v>56</v>
      </c>
      <c r="AU165" s="42">
        <f>Assumptions!I34</f>
        <v>62</v>
      </c>
      <c r="AV165" s="42">
        <f>Assumptions!J34</f>
        <v>59</v>
      </c>
      <c r="AW165" s="42">
        <f>Assumptions!K34</f>
        <v>66</v>
      </c>
      <c r="AX165" s="42">
        <f>Assumptions!L34</f>
        <v>73</v>
      </c>
      <c r="AY165" s="42">
        <f>Assumptions!M34</f>
        <v>71</v>
      </c>
      <c r="AZ165" s="42">
        <f>Assumptions!N34</f>
        <v>79</v>
      </c>
      <c r="BA165" s="42">
        <f>Assumptions!O34</f>
        <v>77</v>
      </c>
      <c r="BB165" s="42">
        <f>Assumptions!P34</f>
        <v>86</v>
      </c>
      <c r="BD165" s="42">
        <f>Assumptions!E45</f>
        <v>40</v>
      </c>
      <c r="BE165" s="42">
        <f>Assumptions!F45</f>
        <v>60</v>
      </c>
      <c r="BF165" s="42">
        <f>Assumptions!G45</f>
        <v>70</v>
      </c>
      <c r="BG165" s="42">
        <f>Assumptions!H45</f>
        <v>68</v>
      </c>
      <c r="BH165" s="42">
        <f>Assumptions!I45</f>
        <v>76</v>
      </c>
      <c r="BI165" s="42">
        <f>Assumptions!J45</f>
        <v>74</v>
      </c>
      <c r="BJ165" s="42">
        <f>Assumptions!K45</f>
        <v>83</v>
      </c>
      <c r="BK165" s="42">
        <f>Assumptions!L45</f>
        <v>82</v>
      </c>
      <c r="BL165" s="42">
        <f>Assumptions!M45</f>
        <v>92</v>
      </c>
      <c r="BM165" s="42">
        <f>Assumptions!N45</f>
        <v>92</v>
      </c>
      <c r="BN165" s="42">
        <f>Assumptions!O45</f>
        <v>103</v>
      </c>
      <c r="BO165" s="42">
        <f>Assumptions!P45</f>
        <v>104</v>
      </c>
      <c r="BQ165" s="72">
        <f>Assumptions!E56</f>
        <v>35</v>
      </c>
      <c r="BR165" s="72">
        <f>Assumptions!F56</f>
        <v>45</v>
      </c>
      <c r="BS165" s="72">
        <f>Assumptions!G56</f>
        <v>50</v>
      </c>
      <c r="BT165" s="72">
        <f>Assumptions!H56</f>
        <v>56</v>
      </c>
      <c r="BU165" s="72">
        <f>Assumptions!I56</f>
        <v>62</v>
      </c>
      <c r="BV165" s="42">
        <f>Assumptions!J56</f>
        <v>59</v>
      </c>
      <c r="BW165" s="42">
        <f>Assumptions!K56</f>
        <v>66</v>
      </c>
      <c r="BX165" s="42">
        <f>Assumptions!L56</f>
        <v>73</v>
      </c>
      <c r="BY165" s="42">
        <f>Assumptions!M56</f>
        <v>71</v>
      </c>
      <c r="BZ165" s="42">
        <f>Assumptions!N56</f>
        <v>79</v>
      </c>
      <c r="CA165" s="42">
        <f>Assumptions!O56</f>
        <v>77</v>
      </c>
      <c r="CB165" s="42">
        <f>Assumptions!P56</f>
        <v>86</v>
      </c>
      <c r="CD165" s="24"/>
      <c r="CE165" s="24"/>
      <c r="CF165" s="42">
        <f>Assumptions!G67</f>
        <v>40</v>
      </c>
      <c r="CG165" s="42">
        <f>Assumptions!H67</f>
        <v>60</v>
      </c>
      <c r="CH165" s="42">
        <f>Assumptions!I67</f>
        <v>70</v>
      </c>
      <c r="CI165" s="42">
        <f>Assumptions!J67</f>
        <v>68</v>
      </c>
      <c r="CJ165" s="42">
        <f>Assumptions!K67</f>
        <v>76</v>
      </c>
      <c r="CK165" s="42">
        <f>Assumptions!L67</f>
        <v>74</v>
      </c>
      <c r="CL165" s="42">
        <f>Assumptions!M67</f>
        <v>83</v>
      </c>
      <c r="CM165" s="42">
        <f>Assumptions!N67</f>
        <v>82</v>
      </c>
      <c r="CN165" s="42">
        <f>Assumptions!O67</f>
        <v>92</v>
      </c>
      <c r="CO165" s="42">
        <f>Assumptions!P67</f>
        <v>92</v>
      </c>
    </row>
    <row r="166" spans="1:95" x14ac:dyDescent="0.25">
      <c r="A166" s="18"/>
      <c r="B166" s="18" t="s">
        <v>520</v>
      </c>
      <c r="D166" s="48">
        <f t="shared" si="47"/>
        <v>750</v>
      </c>
      <c r="E166" s="48">
        <f t="shared" si="55"/>
        <v>855</v>
      </c>
      <c r="F166" s="48">
        <f t="shared" si="55"/>
        <v>1000</v>
      </c>
      <c r="G166" s="48">
        <f t="shared" si="55"/>
        <v>1070</v>
      </c>
      <c r="H166" s="48">
        <f t="shared" si="55"/>
        <v>1120</v>
      </c>
      <c r="I166" s="48">
        <f t="shared" si="55"/>
        <v>1160</v>
      </c>
      <c r="J166" s="48">
        <f t="shared" si="55"/>
        <v>1202</v>
      </c>
      <c r="K166" s="48">
        <f t="shared" si="55"/>
        <v>1244</v>
      </c>
      <c r="L166" s="48">
        <f t="shared" si="55"/>
        <v>1291</v>
      </c>
      <c r="M166" s="48">
        <f t="shared" si="55"/>
        <v>1338</v>
      </c>
      <c r="N166" s="48">
        <f t="shared" si="55"/>
        <v>1387</v>
      </c>
      <c r="O166" s="48">
        <f t="shared" si="55"/>
        <v>1438</v>
      </c>
      <c r="Q166" s="48">
        <f>Assumptions!E13</f>
        <v>300</v>
      </c>
      <c r="R166" s="48">
        <f>Assumptions!F13</f>
        <v>306</v>
      </c>
      <c r="S166" s="48">
        <f>Assumptions!G13</f>
        <v>312</v>
      </c>
      <c r="T166" s="48">
        <f>Assumptions!H13</f>
        <v>318</v>
      </c>
      <c r="U166" s="48">
        <f>Assumptions!I13</f>
        <v>324</v>
      </c>
      <c r="V166" s="48">
        <f>Assumptions!J13</f>
        <v>330</v>
      </c>
      <c r="W166" s="48">
        <f>Assumptions!K13</f>
        <v>337</v>
      </c>
      <c r="X166" s="48">
        <f>Assumptions!L13</f>
        <v>344</v>
      </c>
      <c r="Y166" s="48">
        <f>Assumptions!M13</f>
        <v>351</v>
      </c>
      <c r="Z166" s="48">
        <f>Assumptions!N13</f>
        <v>358</v>
      </c>
      <c r="AA166" s="48">
        <f>Assumptions!O13</f>
        <v>365</v>
      </c>
      <c r="AB166" s="48">
        <f>Assumptions!P13</f>
        <v>372</v>
      </c>
      <c r="AD166">
        <f>Assumptions!E24</f>
        <v>200</v>
      </c>
      <c r="AE166">
        <f>Assumptions!F24</f>
        <v>204</v>
      </c>
      <c r="AF166">
        <f>Assumptions!G24</f>
        <v>208</v>
      </c>
      <c r="AG166">
        <f>Assumptions!H24</f>
        <v>212</v>
      </c>
      <c r="AH166">
        <f>Assumptions!I24</f>
        <v>216</v>
      </c>
      <c r="AI166">
        <f>Assumptions!J24</f>
        <v>220</v>
      </c>
      <c r="AJ166">
        <f>Assumptions!K24</f>
        <v>224</v>
      </c>
      <c r="AK166">
        <f>Assumptions!L24</f>
        <v>228</v>
      </c>
      <c r="AL166">
        <f>Assumptions!M24</f>
        <v>233</v>
      </c>
      <c r="AM166">
        <f>Assumptions!N24</f>
        <v>238</v>
      </c>
      <c r="AN166">
        <f>Assumptions!O24</f>
        <v>243</v>
      </c>
      <c r="AO166">
        <f>Assumptions!P24</f>
        <v>248</v>
      </c>
      <c r="AQ166">
        <f>Assumptions!E35</f>
        <v>85</v>
      </c>
      <c r="AR166">
        <f>Assumptions!F35</f>
        <v>110</v>
      </c>
      <c r="AS166">
        <f>Assumptions!G35</f>
        <v>120</v>
      </c>
      <c r="AT166">
        <f>Assumptions!H35</f>
        <v>126</v>
      </c>
      <c r="AU166">
        <f>Assumptions!I35</f>
        <v>132</v>
      </c>
      <c r="AV166">
        <f>Assumptions!J35</f>
        <v>139</v>
      </c>
      <c r="AW166">
        <f>Assumptions!K35</f>
        <v>146</v>
      </c>
      <c r="AX166">
        <f>Assumptions!L35</f>
        <v>153</v>
      </c>
      <c r="AY166">
        <f>Assumptions!M35</f>
        <v>161</v>
      </c>
      <c r="AZ166">
        <f>Assumptions!N35</f>
        <v>169</v>
      </c>
      <c r="BA166">
        <f>Assumptions!O35</f>
        <v>177</v>
      </c>
      <c r="BB166">
        <f>Assumptions!P35</f>
        <v>186</v>
      </c>
      <c r="BD166">
        <f>Assumptions!E46</f>
        <v>90</v>
      </c>
      <c r="BE166">
        <f>Assumptions!F46</f>
        <v>130</v>
      </c>
      <c r="BF166">
        <f>Assumptions!G46</f>
        <v>150</v>
      </c>
      <c r="BG166">
        <f>Assumptions!H46</f>
        <v>158</v>
      </c>
      <c r="BH166">
        <f>Assumptions!I46</f>
        <v>166</v>
      </c>
      <c r="BI166">
        <f>Assumptions!J46</f>
        <v>174</v>
      </c>
      <c r="BJ166">
        <f>Assumptions!K46</f>
        <v>183</v>
      </c>
      <c r="BK166">
        <f>Assumptions!L46</f>
        <v>192</v>
      </c>
      <c r="BL166">
        <f>Assumptions!M46</f>
        <v>202</v>
      </c>
      <c r="BM166">
        <f>Assumptions!N46</f>
        <v>212</v>
      </c>
      <c r="BN166">
        <f>Assumptions!O46</f>
        <v>223</v>
      </c>
      <c r="BO166">
        <f>Assumptions!P46</f>
        <v>234</v>
      </c>
      <c r="BQ166" s="24">
        <f>Assumptions!E57</f>
        <v>75</v>
      </c>
      <c r="BR166" s="24">
        <f>Assumptions!F57</f>
        <v>105</v>
      </c>
      <c r="BS166" s="24">
        <f>Assumptions!G57</f>
        <v>120</v>
      </c>
      <c r="BT166" s="24">
        <f>Assumptions!H57</f>
        <v>126</v>
      </c>
      <c r="BU166" s="24">
        <f>Assumptions!I57</f>
        <v>132</v>
      </c>
      <c r="BV166">
        <f>Assumptions!J57</f>
        <v>139</v>
      </c>
      <c r="BW166">
        <f>Assumptions!K57</f>
        <v>146</v>
      </c>
      <c r="BX166">
        <f>Assumptions!L57</f>
        <v>153</v>
      </c>
      <c r="BY166">
        <f>Assumptions!M57</f>
        <v>161</v>
      </c>
      <c r="BZ166">
        <f>Assumptions!N57</f>
        <v>169</v>
      </c>
      <c r="CA166">
        <f>Assumptions!O57</f>
        <v>177</v>
      </c>
      <c r="CB166">
        <f>Assumptions!P57</f>
        <v>186</v>
      </c>
      <c r="CD166" s="24"/>
      <c r="CE166" s="24"/>
      <c r="CF166">
        <f>Assumptions!G68</f>
        <v>90</v>
      </c>
      <c r="CG166">
        <f>Assumptions!H68</f>
        <v>130</v>
      </c>
      <c r="CH166">
        <f>Assumptions!I68</f>
        <v>150</v>
      </c>
      <c r="CI166">
        <f>Assumptions!J68</f>
        <v>158</v>
      </c>
      <c r="CJ166">
        <f>Assumptions!K68</f>
        <v>166</v>
      </c>
      <c r="CK166">
        <f>Assumptions!L68</f>
        <v>174</v>
      </c>
      <c r="CL166">
        <f>Assumptions!M68</f>
        <v>183</v>
      </c>
      <c r="CM166">
        <f>Assumptions!N68</f>
        <v>192</v>
      </c>
      <c r="CN166">
        <f>Assumptions!O68</f>
        <v>202</v>
      </c>
      <c r="CO166">
        <f>Assumptions!P68</f>
        <v>212</v>
      </c>
    </row>
    <row r="167" spans="1:95" x14ac:dyDescent="0.25">
      <c r="A167" s="18"/>
      <c r="B167" s="1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BL167" s="31"/>
      <c r="BM167" s="31"/>
      <c r="BN167" s="31"/>
      <c r="BO167" s="31"/>
      <c r="BY167" s="31"/>
      <c r="BZ167" s="31"/>
      <c r="CA167" s="31"/>
      <c r="CB167" s="31"/>
    </row>
    <row r="168" spans="1:95" x14ac:dyDescent="0.25">
      <c r="A168" s="18"/>
      <c r="B168" s="18" t="s">
        <v>72</v>
      </c>
      <c r="D168" s="48">
        <f t="shared" si="47"/>
        <v>2</v>
      </c>
      <c r="E168" s="48">
        <f t="shared" ref="E168:O171" si="56">R168+AE168+AR168+BE168+BR168+CE168</f>
        <v>2</v>
      </c>
      <c r="F168" s="48">
        <f t="shared" si="56"/>
        <v>2.5</v>
      </c>
      <c r="G168" s="48">
        <f t="shared" si="56"/>
        <v>2.5</v>
      </c>
      <c r="H168" s="48">
        <f t="shared" si="56"/>
        <v>2.5</v>
      </c>
      <c r="I168" s="48">
        <f t="shared" si="56"/>
        <v>2.5</v>
      </c>
      <c r="J168" s="48">
        <f t="shared" si="56"/>
        <v>2.5</v>
      </c>
      <c r="K168" s="48">
        <f t="shared" si="56"/>
        <v>3</v>
      </c>
      <c r="L168" s="48">
        <f t="shared" si="56"/>
        <v>3.5</v>
      </c>
      <c r="M168" s="48">
        <f t="shared" si="56"/>
        <v>4</v>
      </c>
      <c r="N168" s="48">
        <f t="shared" si="56"/>
        <v>4</v>
      </c>
      <c r="O168" s="48">
        <f t="shared" si="56"/>
        <v>4</v>
      </c>
      <c r="Q168" s="48">
        <f>Site1!E200</f>
        <v>1</v>
      </c>
      <c r="R168" s="48">
        <f>Site1!F200</f>
        <v>1</v>
      </c>
      <c r="S168" s="48">
        <f>Site1!G200</f>
        <v>1</v>
      </c>
      <c r="T168" s="48">
        <f>Site1!H200</f>
        <v>1</v>
      </c>
      <c r="U168" s="48">
        <f>Site1!I200</f>
        <v>1</v>
      </c>
      <c r="V168" s="48">
        <f>Site1!J200</f>
        <v>1</v>
      </c>
      <c r="W168" s="48">
        <f>Site1!K200</f>
        <v>1</v>
      </c>
      <c r="X168" s="48">
        <f>Site1!L200</f>
        <v>1</v>
      </c>
      <c r="Y168" s="48">
        <f>Site1!M200</f>
        <v>1</v>
      </c>
      <c r="Z168" s="48">
        <f>Site1!N200</f>
        <v>1</v>
      </c>
      <c r="AA168" s="48">
        <f>Site1!O200</f>
        <v>1</v>
      </c>
      <c r="AB168" s="48">
        <f>Site1!P200</f>
        <v>1</v>
      </c>
      <c r="AD168" s="48">
        <f>Site2!E200</f>
        <v>1</v>
      </c>
      <c r="AE168" s="48">
        <f>Site2!F200</f>
        <v>1</v>
      </c>
      <c r="AF168" s="48">
        <f>Site2!G200</f>
        <v>1</v>
      </c>
      <c r="AG168" s="48">
        <f>Site2!H200</f>
        <v>1</v>
      </c>
      <c r="AH168" s="48">
        <f>Site2!I200</f>
        <v>1</v>
      </c>
      <c r="AI168" s="48">
        <f>Site2!J200</f>
        <v>1</v>
      </c>
      <c r="AJ168" s="48">
        <f>Site2!K200</f>
        <v>1</v>
      </c>
      <c r="AK168" s="48">
        <f>Site2!L200</f>
        <v>1</v>
      </c>
      <c r="AL168" s="48">
        <f>Site2!M200</f>
        <v>1</v>
      </c>
      <c r="AM168" s="48">
        <f>Site2!N200</f>
        <v>1</v>
      </c>
      <c r="AN168" s="48">
        <f>Site2!O200</f>
        <v>1</v>
      </c>
      <c r="AO168" s="48">
        <f>Site2!P200</f>
        <v>1</v>
      </c>
      <c r="AQ168" s="24">
        <f>Site3!E200</f>
        <v>0</v>
      </c>
      <c r="AR168" s="24">
        <f>Site3!F200</f>
        <v>0</v>
      </c>
      <c r="AS168" s="24">
        <f>Site3!G200</f>
        <v>0</v>
      </c>
      <c r="AT168" s="24">
        <f>Site3!H200</f>
        <v>0</v>
      </c>
      <c r="AU168" s="24">
        <f>Site3!I200</f>
        <v>0</v>
      </c>
      <c r="AV168" s="24">
        <f>Site3!J200</f>
        <v>0</v>
      </c>
      <c r="AW168" s="24">
        <f>Site3!K200</f>
        <v>0</v>
      </c>
      <c r="AX168" s="24">
        <f>Site3!L200</f>
        <v>0</v>
      </c>
      <c r="AY168" s="24">
        <f>Site3!M200</f>
        <v>0.5</v>
      </c>
      <c r="AZ168" s="24">
        <f>Site3!N200</f>
        <v>0.5</v>
      </c>
      <c r="BA168" s="24">
        <f>Site3!O200</f>
        <v>0.5</v>
      </c>
      <c r="BB168" s="24">
        <f>Site3!P200</f>
        <v>0.5</v>
      </c>
      <c r="BD168" s="24">
        <f>Site4!E200</f>
        <v>0</v>
      </c>
      <c r="BE168" s="24">
        <f>Site4!F200</f>
        <v>0</v>
      </c>
      <c r="BF168" s="24">
        <f>Site4!G200</f>
        <v>0</v>
      </c>
      <c r="BG168" s="24">
        <f>Site4!H200</f>
        <v>0</v>
      </c>
      <c r="BH168" s="24">
        <f>Site4!I200</f>
        <v>0</v>
      </c>
      <c r="BI168" s="24">
        <f>Site4!J200</f>
        <v>0</v>
      </c>
      <c r="BJ168" s="24">
        <f>Site4!K200</f>
        <v>0</v>
      </c>
      <c r="BK168" s="24">
        <f>Site4!L200</f>
        <v>0.5</v>
      </c>
      <c r="BL168" s="24">
        <f>Site4!M200</f>
        <v>0.5</v>
      </c>
      <c r="BM168" s="24">
        <f>Site4!N200</f>
        <v>0.5</v>
      </c>
      <c r="BN168" s="24">
        <f>Site4!O200</f>
        <v>0.5</v>
      </c>
      <c r="BO168" s="24">
        <f>Site4!P200</f>
        <v>0.5</v>
      </c>
      <c r="BQ168" s="24">
        <f>Site5!E200</f>
        <v>0</v>
      </c>
      <c r="BR168" s="24">
        <f>Site5!F200</f>
        <v>0</v>
      </c>
      <c r="BS168" s="24">
        <f>Site5!G200</f>
        <v>0.5</v>
      </c>
      <c r="BT168" s="24">
        <f>Site5!H200</f>
        <v>0.5</v>
      </c>
      <c r="BU168" s="24">
        <f>Site5!I200</f>
        <v>0.5</v>
      </c>
      <c r="BV168" s="24">
        <f>Site5!J200</f>
        <v>0.5</v>
      </c>
      <c r="BW168" s="24">
        <f>Site5!K200</f>
        <v>0.5</v>
      </c>
      <c r="BX168" s="24">
        <f>Site5!L200</f>
        <v>0.5</v>
      </c>
      <c r="BY168" s="24">
        <f>Site5!M200</f>
        <v>0.5</v>
      </c>
      <c r="BZ168" s="24">
        <f>Site5!N200</f>
        <v>1</v>
      </c>
      <c r="CA168" s="24">
        <f>Site5!O200</f>
        <v>1</v>
      </c>
      <c r="CB168" s="24">
        <f>Site5!P200</f>
        <v>1</v>
      </c>
      <c r="CD168" s="323"/>
      <c r="CE168" s="323"/>
      <c r="CF168" s="24">
        <f>Site6!G200</f>
        <v>0</v>
      </c>
      <c r="CG168" s="24">
        <f>Site6!H200</f>
        <v>0</v>
      </c>
      <c r="CH168" s="24">
        <f>Site6!I200</f>
        <v>0</v>
      </c>
      <c r="CI168" s="24">
        <f>Site6!J200</f>
        <v>0</v>
      </c>
      <c r="CJ168" s="24">
        <f>Site6!K200</f>
        <v>0</v>
      </c>
      <c r="CK168" s="24">
        <f>Site6!L200</f>
        <v>0</v>
      </c>
      <c r="CL168" s="24">
        <f>Site6!M200</f>
        <v>0</v>
      </c>
      <c r="CM168" s="24">
        <f>Site6!N200</f>
        <v>0</v>
      </c>
      <c r="CN168" s="24">
        <f>Site6!O200</f>
        <v>0</v>
      </c>
      <c r="CO168" s="24">
        <f>Site6!P200</f>
        <v>0</v>
      </c>
    </row>
    <row r="169" spans="1:95" x14ac:dyDescent="0.25">
      <c r="A169" s="18"/>
      <c r="B169" s="18" t="s">
        <v>663</v>
      </c>
      <c r="D169" s="48">
        <f t="shared" si="47"/>
        <v>8</v>
      </c>
      <c r="E169" s="48">
        <f t="shared" si="56"/>
        <v>10</v>
      </c>
      <c r="F169" s="48">
        <f t="shared" si="56"/>
        <v>11</v>
      </c>
      <c r="G169" s="48">
        <f t="shared" si="56"/>
        <v>12</v>
      </c>
      <c r="H169" s="48">
        <f t="shared" si="56"/>
        <v>12</v>
      </c>
      <c r="I169" s="48">
        <f t="shared" si="56"/>
        <v>12</v>
      </c>
      <c r="J169" s="48">
        <f t="shared" si="56"/>
        <v>12</v>
      </c>
      <c r="K169" s="48">
        <f t="shared" si="56"/>
        <v>12</v>
      </c>
      <c r="L169" s="48">
        <f t="shared" si="56"/>
        <v>12</v>
      </c>
      <c r="M169" s="48">
        <f t="shared" si="56"/>
        <v>12</v>
      </c>
      <c r="N169" s="48">
        <f t="shared" si="56"/>
        <v>12</v>
      </c>
      <c r="O169" s="48">
        <f t="shared" si="56"/>
        <v>12</v>
      </c>
      <c r="Q169" s="48">
        <f>Site1!E203+Site1!E204</f>
        <v>2</v>
      </c>
      <c r="R169" s="48">
        <f>Site1!F203+Site1!F204</f>
        <v>2</v>
      </c>
      <c r="S169" s="48">
        <f>Site1!G203+Site1!G204</f>
        <v>2</v>
      </c>
      <c r="T169" s="48">
        <f>Site1!H203+Site1!H204</f>
        <v>2</v>
      </c>
      <c r="U169" s="48">
        <f>Site1!I203+Site1!I204</f>
        <v>2</v>
      </c>
      <c r="V169" s="48">
        <f>Site1!J203+Site1!J204</f>
        <v>2</v>
      </c>
      <c r="W169" s="48">
        <f>Site1!K203+Site1!K204</f>
        <v>2</v>
      </c>
      <c r="X169" s="48">
        <f>Site1!L203+Site1!L204</f>
        <v>2</v>
      </c>
      <c r="Y169" s="48">
        <f>Site1!M203+Site1!M204</f>
        <v>2</v>
      </c>
      <c r="Z169" s="48">
        <f>Site1!N203+Site1!N204</f>
        <v>2</v>
      </c>
      <c r="AA169" s="48">
        <f>Site1!O203+Site1!O204</f>
        <v>2</v>
      </c>
      <c r="AB169" s="48">
        <f>Site1!P203+Site1!P204</f>
        <v>2</v>
      </c>
      <c r="AD169" s="48">
        <f>Site2!E203+Site2!E204</f>
        <v>2</v>
      </c>
      <c r="AE169" s="48">
        <f>Site2!F203+Site2!F204</f>
        <v>2</v>
      </c>
      <c r="AF169" s="48">
        <f>Site2!G203+Site2!G204</f>
        <v>2</v>
      </c>
      <c r="AG169" s="48">
        <f>Site2!H203+Site2!H204</f>
        <v>2</v>
      </c>
      <c r="AH169" s="48">
        <f>Site2!I203+Site2!I204</f>
        <v>2</v>
      </c>
      <c r="AI169" s="48">
        <f>Site2!J203+Site2!J204</f>
        <v>2</v>
      </c>
      <c r="AJ169" s="48">
        <f>Site2!K203+Site2!K204</f>
        <v>2</v>
      </c>
      <c r="AK169" s="48">
        <f>Site2!L203+Site2!L204</f>
        <v>2</v>
      </c>
      <c r="AL169" s="48">
        <f>Site2!M203+Site2!M204</f>
        <v>2</v>
      </c>
      <c r="AM169" s="48">
        <f>Site2!N203+Site2!N204</f>
        <v>2</v>
      </c>
      <c r="AN169" s="48">
        <f>Site2!O203+Site2!O204</f>
        <v>2</v>
      </c>
      <c r="AO169" s="48">
        <f>Site2!P203+Site2!P204</f>
        <v>2</v>
      </c>
      <c r="AQ169" s="24">
        <f>Site3!E203+Site3!E204</f>
        <v>1</v>
      </c>
      <c r="AR169" s="24">
        <f>Site3!F203+Site3!F204</f>
        <v>2</v>
      </c>
      <c r="AS169" s="24">
        <f>Site3!G203+Site3!G204</f>
        <v>2</v>
      </c>
      <c r="AT169" s="24">
        <f>Site3!H203+Site3!H204</f>
        <v>2</v>
      </c>
      <c r="AU169" s="24">
        <f>Site3!I203+Site3!I204</f>
        <v>2</v>
      </c>
      <c r="AV169" s="24">
        <f>Site3!J203+Site3!J204</f>
        <v>2</v>
      </c>
      <c r="AW169" s="24">
        <f>Site3!K203+Site3!K204</f>
        <v>2</v>
      </c>
      <c r="AX169" s="24">
        <f>Site3!L203+Site3!L204</f>
        <v>2</v>
      </c>
      <c r="AY169" s="24">
        <f>Site3!M203+Site3!M204</f>
        <v>2</v>
      </c>
      <c r="AZ169" s="24">
        <f>Site3!N203+Site3!N204</f>
        <v>2</v>
      </c>
      <c r="BA169" s="24">
        <f>Site3!O203+Site3!O204</f>
        <v>2</v>
      </c>
      <c r="BB169" s="24">
        <f>Site3!P203+Site3!P204</f>
        <v>2</v>
      </c>
      <c r="BD169" s="24">
        <f>Site4!E203+Site4!E204</f>
        <v>1</v>
      </c>
      <c r="BE169" s="24">
        <f>Site4!F203+Site4!F204</f>
        <v>2</v>
      </c>
      <c r="BF169" s="24">
        <f>Site4!G203+Site4!G204</f>
        <v>2</v>
      </c>
      <c r="BG169" s="24">
        <f>Site4!H203+Site4!H204</f>
        <v>2</v>
      </c>
      <c r="BH169" s="24">
        <f>Site4!I203+Site4!I204</f>
        <v>2</v>
      </c>
      <c r="BI169" s="24">
        <f>Site4!J203+Site4!J204</f>
        <v>2</v>
      </c>
      <c r="BJ169" s="24">
        <f>Site4!K203+Site4!K204</f>
        <v>2</v>
      </c>
      <c r="BK169" s="24">
        <f>Site4!L203+Site4!L204</f>
        <v>2</v>
      </c>
      <c r="BL169" s="24">
        <f>Site4!M203+Site4!M204</f>
        <v>2</v>
      </c>
      <c r="BM169" s="24">
        <f>Site4!N203+Site4!N204</f>
        <v>2</v>
      </c>
      <c r="BN169" s="24">
        <f>Site4!O203+Site4!O204</f>
        <v>2</v>
      </c>
      <c r="BO169" s="24">
        <f>Site4!P203+Site4!P204</f>
        <v>2</v>
      </c>
      <c r="BQ169" s="24">
        <f>Site5!E203+Site5!E204</f>
        <v>2</v>
      </c>
      <c r="BR169" s="24">
        <f>Site5!F203+Site5!F204</f>
        <v>2</v>
      </c>
      <c r="BS169" s="24">
        <f>Site5!G203+Site5!G204</f>
        <v>2</v>
      </c>
      <c r="BT169" s="24">
        <f>Site5!H203+Site5!H204</f>
        <v>2</v>
      </c>
      <c r="BU169" s="24">
        <f>Site5!I203+Site5!I204</f>
        <v>2</v>
      </c>
      <c r="BV169" s="24">
        <f>Site5!J203+Site5!J204</f>
        <v>2</v>
      </c>
      <c r="BW169" s="24">
        <f>Site5!K203+Site5!K204</f>
        <v>2</v>
      </c>
      <c r="BX169" s="24">
        <f>Site5!L203+Site5!L204</f>
        <v>2</v>
      </c>
      <c r="BY169" s="24">
        <f>Site5!M203+Site5!M204</f>
        <v>2</v>
      </c>
      <c r="BZ169" s="24">
        <f>Site5!N203+Site5!N204</f>
        <v>2</v>
      </c>
      <c r="CA169" s="24">
        <f>Site5!O203+Site5!O204</f>
        <v>2</v>
      </c>
      <c r="CB169" s="24">
        <f>Site5!P203+Site5!P204</f>
        <v>2</v>
      </c>
      <c r="CD169" s="323"/>
      <c r="CE169" s="323"/>
      <c r="CF169" s="24">
        <f>Site6!G203+Site6!G204</f>
        <v>1</v>
      </c>
      <c r="CG169" s="24">
        <f>Site6!H203+Site6!H204</f>
        <v>2</v>
      </c>
      <c r="CH169" s="24">
        <f>Site6!I203+Site6!I204</f>
        <v>2</v>
      </c>
      <c r="CI169" s="24">
        <f>Site6!J203+Site6!J204</f>
        <v>2</v>
      </c>
      <c r="CJ169" s="24">
        <f>Site6!K203+Site6!K204</f>
        <v>2</v>
      </c>
      <c r="CK169" s="24">
        <f>Site6!L203+Site6!L204</f>
        <v>2</v>
      </c>
      <c r="CL169" s="24">
        <f>Site6!M203+Site6!M204</f>
        <v>2</v>
      </c>
      <c r="CM169" s="24">
        <f>Site6!N203+Site6!N204</f>
        <v>2</v>
      </c>
      <c r="CN169" s="24">
        <f>Site6!O203+Site6!O204</f>
        <v>2</v>
      </c>
      <c r="CO169" s="24">
        <f>Site6!P203+Site6!P204</f>
        <v>2</v>
      </c>
    </row>
    <row r="170" spans="1:95" x14ac:dyDescent="0.25">
      <c r="A170" s="18"/>
      <c r="B170" s="18" t="s">
        <v>664</v>
      </c>
      <c r="D170" s="49">
        <f t="shared" si="47"/>
        <v>9</v>
      </c>
      <c r="E170" s="49">
        <f t="shared" si="56"/>
        <v>12</v>
      </c>
      <c r="F170" s="49">
        <f t="shared" si="56"/>
        <v>13</v>
      </c>
      <c r="G170" s="49">
        <f t="shared" si="56"/>
        <v>14</v>
      </c>
      <c r="H170" s="49">
        <f t="shared" si="56"/>
        <v>14</v>
      </c>
      <c r="I170" s="49">
        <f t="shared" si="56"/>
        <v>14</v>
      </c>
      <c r="J170" s="49">
        <f t="shared" si="56"/>
        <v>14</v>
      </c>
      <c r="K170" s="49">
        <f t="shared" si="56"/>
        <v>14</v>
      </c>
      <c r="L170" s="49">
        <f t="shared" si="56"/>
        <v>14</v>
      </c>
      <c r="M170" s="49">
        <f t="shared" si="56"/>
        <v>14</v>
      </c>
      <c r="N170" s="49">
        <f t="shared" si="56"/>
        <v>14</v>
      </c>
      <c r="O170" s="49">
        <f t="shared" si="56"/>
        <v>14</v>
      </c>
      <c r="Q170" s="49">
        <f>Site1!E202</f>
        <v>4</v>
      </c>
      <c r="R170" s="49">
        <f>Site1!F202</f>
        <v>4</v>
      </c>
      <c r="S170" s="49">
        <f>Site1!G202</f>
        <v>4</v>
      </c>
      <c r="T170" s="49">
        <f>Site1!H202</f>
        <v>4</v>
      </c>
      <c r="U170" s="49">
        <f>Site1!I202</f>
        <v>4</v>
      </c>
      <c r="V170" s="49">
        <f>Site1!J202</f>
        <v>4</v>
      </c>
      <c r="W170" s="49">
        <f>Site1!K202</f>
        <v>4</v>
      </c>
      <c r="X170" s="49">
        <f>Site1!L202</f>
        <v>4</v>
      </c>
      <c r="Y170" s="49">
        <f>Site1!M202</f>
        <v>4</v>
      </c>
      <c r="Z170" s="49">
        <f>Site1!N202</f>
        <v>4</v>
      </c>
      <c r="AA170" s="49">
        <f>Site1!O202</f>
        <v>4</v>
      </c>
      <c r="AB170" s="49">
        <f>Site1!P202</f>
        <v>4</v>
      </c>
      <c r="AC170" s="19"/>
      <c r="AD170" s="49">
        <f>Site2!E202</f>
        <v>2</v>
      </c>
      <c r="AE170" s="49">
        <f>Site2!F202</f>
        <v>3</v>
      </c>
      <c r="AF170" s="49">
        <f>Site2!G202</f>
        <v>3</v>
      </c>
      <c r="AG170" s="49">
        <f>Site2!H202</f>
        <v>3</v>
      </c>
      <c r="AH170" s="49">
        <f>Site2!I202</f>
        <v>3</v>
      </c>
      <c r="AI170" s="49">
        <f>Site2!J202</f>
        <v>3</v>
      </c>
      <c r="AJ170" s="49">
        <f>Site2!K202</f>
        <v>3</v>
      </c>
      <c r="AK170" s="49">
        <f>Site2!L202</f>
        <v>3</v>
      </c>
      <c r="AL170" s="49">
        <f>Site2!M202</f>
        <v>3</v>
      </c>
      <c r="AM170" s="49">
        <f>Site2!N202</f>
        <v>3</v>
      </c>
      <c r="AN170" s="49">
        <f>Site2!O202</f>
        <v>3</v>
      </c>
      <c r="AO170" s="49">
        <f>Site2!P202</f>
        <v>3</v>
      </c>
      <c r="AP170" s="19"/>
      <c r="AQ170" s="72">
        <f>Site3!E202</f>
        <v>1</v>
      </c>
      <c r="AR170" s="72">
        <f>Site3!F202</f>
        <v>1</v>
      </c>
      <c r="AS170" s="72">
        <f>Site3!G202</f>
        <v>1</v>
      </c>
      <c r="AT170" s="72">
        <f>Site3!H202</f>
        <v>1</v>
      </c>
      <c r="AU170" s="72">
        <f>Site3!I202</f>
        <v>1</v>
      </c>
      <c r="AV170" s="72">
        <f>Site3!J202</f>
        <v>1</v>
      </c>
      <c r="AW170" s="72">
        <f>Site3!K202</f>
        <v>1</v>
      </c>
      <c r="AX170" s="72">
        <f>Site3!L202</f>
        <v>1</v>
      </c>
      <c r="AY170" s="72">
        <f>Site3!M202</f>
        <v>1</v>
      </c>
      <c r="AZ170" s="72">
        <f>Site3!N202</f>
        <v>1</v>
      </c>
      <c r="BA170" s="72">
        <f>Site3!O202</f>
        <v>1</v>
      </c>
      <c r="BB170" s="72">
        <f>Site3!P202</f>
        <v>1</v>
      </c>
      <c r="BD170" s="72">
        <f>Site4!E202</f>
        <v>1</v>
      </c>
      <c r="BE170" s="72">
        <f>Site4!F202</f>
        <v>2</v>
      </c>
      <c r="BF170" s="72">
        <f>Site4!G202</f>
        <v>2</v>
      </c>
      <c r="BG170" s="72">
        <f>Site4!H202</f>
        <v>2</v>
      </c>
      <c r="BH170" s="72">
        <f>Site4!I202</f>
        <v>2</v>
      </c>
      <c r="BI170" s="72">
        <f>Site4!J202</f>
        <v>2</v>
      </c>
      <c r="BJ170" s="72">
        <f>Site4!K202</f>
        <v>2</v>
      </c>
      <c r="BK170" s="72">
        <f>Site4!L202</f>
        <v>2</v>
      </c>
      <c r="BL170" s="72">
        <f>Site4!M202</f>
        <v>2</v>
      </c>
      <c r="BM170" s="72">
        <f>Site4!N202</f>
        <v>2</v>
      </c>
      <c r="BN170" s="72">
        <f>Site4!O202</f>
        <v>2</v>
      </c>
      <c r="BO170" s="72">
        <f>Site4!P202</f>
        <v>2</v>
      </c>
      <c r="BQ170" s="72">
        <f>Site5!E202</f>
        <v>1</v>
      </c>
      <c r="BR170" s="72">
        <f>Site5!F202</f>
        <v>2</v>
      </c>
      <c r="BS170" s="72">
        <f>Site5!G202</f>
        <v>2</v>
      </c>
      <c r="BT170" s="72">
        <f>Site5!H202</f>
        <v>2</v>
      </c>
      <c r="BU170" s="72">
        <f>Site5!I202</f>
        <v>2</v>
      </c>
      <c r="BV170" s="72">
        <f>Site5!J202</f>
        <v>2</v>
      </c>
      <c r="BW170" s="72">
        <f>Site5!K202</f>
        <v>2</v>
      </c>
      <c r="BX170" s="72">
        <f>Site5!L202</f>
        <v>2</v>
      </c>
      <c r="BY170" s="72">
        <f>Site5!M202</f>
        <v>2</v>
      </c>
      <c r="BZ170" s="72">
        <f>Site5!N202</f>
        <v>2</v>
      </c>
      <c r="CA170" s="72">
        <f>Site5!O202</f>
        <v>2</v>
      </c>
      <c r="CB170" s="72">
        <f>Site5!P202</f>
        <v>2</v>
      </c>
      <c r="CD170" s="323"/>
      <c r="CE170" s="323"/>
      <c r="CF170" s="72">
        <f>Site6!G202</f>
        <v>1</v>
      </c>
      <c r="CG170" s="72">
        <f>Site6!H202</f>
        <v>2</v>
      </c>
      <c r="CH170" s="72">
        <f>Site6!I202</f>
        <v>2</v>
      </c>
      <c r="CI170" s="72">
        <f>Site6!J202</f>
        <v>2</v>
      </c>
      <c r="CJ170" s="72">
        <f>Site6!K202</f>
        <v>2</v>
      </c>
      <c r="CK170" s="72">
        <f>Site6!L202</f>
        <v>2</v>
      </c>
      <c r="CL170" s="72">
        <f>Site6!M202</f>
        <v>2</v>
      </c>
      <c r="CM170" s="72">
        <f>Site6!N202</f>
        <v>2</v>
      </c>
      <c r="CN170" s="72">
        <f>Site6!O202</f>
        <v>2</v>
      </c>
      <c r="CO170" s="72">
        <f>Site6!P202</f>
        <v>2</v>
      </c>
    </row>
    <row r="171" spans="1:95" x14ac:dyDescent="0.25">
      <c r="A171" s="18"/>
      <c r="B171" s="18" t="s">
        <v>11</v>
      </c>
      <c r="D171" s="48">
        <f t="shared" si="47"/>
        <v>19</v>
      </c>
      <c r="E171" s="48">
        <f t="shared" si="56"/>
        <v>24</v>
      </c>
      <c r="F171" s="48">
        <f t="shared" si="56"/>
        <v>26.5</v>
      </c>
      <c r="G171" s="48">
        <f t="shared" si="56"/>
        <v>28.5</v>
      </c>
      <c r="H171" s="48">
        <f t="shared" si="56"/>
        <v>28.5</v>
      </c>
      <c r="I171" s="48">
        <f t="shared" si="56"/>
        <v>28.5</v>
      </c>
      <c r="J171" s="48">
        <f t="shared" si="56"/>
        <v>28.5</v>
      </c>
      <c r="K171" s="48">
        <f t="shared" si="56"/>
        <v>29</v>
      </c>
      <c r="L171" s="48">
        <f t="shared" si="56"/>
        <v>29.5</v>
      </c>
      <c r="M171" s="48">
        <f t="shared" si="56"/>
        <v>30</v>
      </c>
      <c r="N171" s="48">
        <f t="shared" si="56"/>
        <v>30</v>
      </c>
      <c r="O171" s="48">
        <f t="shared" si="56"/>
        <v>30</v>
      </c>
      <c r="Q171" s="48">
        <f>SUM(Q168:Q170)</f>
        <v>7</v>
      </c>
      <c r="R171" s="48">
        <f t="shared" ref="R171:AB171" si="57">SUM(R168:R170)</f>
        <v>7</v>
      </c>
      <c r="S171" s="48">
        <f t="shared" si="57"/>
        <v>7</v>
      </c>
      <c r="T171" s="48">
        <f t="shared" si="57"/>
        <v>7</v>
      </c>
      <c r="U171" s="48">
        <f t="shared" si="57"/>
        <v>7</v>
      </c>
      <c r="V171" s="48">
        <f t="shared" si="57"/>
        <v>7</v>
      </c>
      <c r="W171" s="48">
        <f t="shared" si="57"/>
        <v>7</v>
      </c>
      <c r="X171" s="48">
        <f t="shared" si="57"/>
        <v>7</v>
      </c>
      <c r="Y171" s="48">
        <f t="shared" si="57"/>
        <v>7</v>
      </c>
      <c r="Z171" s="48">
        <f t="shared" si="57"/>
        <v>7</v>
      </c>
      <c r="AA171" s="48">
        <f t="shared" si="57"/>
        <v>7</v>
      </c>
      <c r="AB171" s="48">
        <f t="shared" si="57"/>
        <v>7</v>
      </c>
      <c r="AD171" s="48">
        <f>SUM(AD168:AD170)</f>
        <v>5</v>
      </c>
      <c r="AE171" s="48">
        <f t="shared" ref="AE171:AO171" si="58">SUM(AE168:AE170)</f>
        <v>6</v>
      </c>
      <c r="AF171" s="48">
        <f t="shared" si="58"/>
        <v>6</v>
      </c>
      <c r="AG171" s="48">
        <f t="shared" si="58"/>
        <v>6</v>
      </c>
      <c r="AH171" s="48">
        <f t="shared" si="58"/>
        <v>6</v>
      </c>
      <c r="AI171" s="48">
        <f t="shared" si="58"/>
        <v>6</v>
      </c>
      <c r="AJ171" s="48">
        <f t="shared" si="58"/>
        <v>6</v>
      </c>
      <c r="AK171" s="48">
        <f t="shared" si="58"/>
        <v>6</v>
      </c>
      <c r="AL171" s="48">
        <f t="shared" si="58"/>
        <v>6</v>
      </c>
      <c r="AM171" s="48">
        <f t="shared" si="58"/>
        <v>6</v>
      </c>
      <c r="AN171" s="48">
        <f t="shared" si="58"/>
        <v>6</v>
      </c>
      <c r="AO171" s="48">
        <f t="shared" si="58"/>
        <v>6</v>
      </c>
      <c r="AQ171" s="24">
        <f>SUM(AQ168:AQ170)</f>
        <v>2</v>
      </c>
      <c r="AR171" s="24">
        <f t="shared" ref="AR171:BB171" si="59">SUM(AR168:AR170)</f>
        <v>3</v>
      </c>
      <c r="AS171" s="24">
        <f t="shared" si="59"/>
        <v>3</v>
      </c>
      <c r="AT171" s="24">
        <f t="shared" si="59"/>
        <v>3</v>
      </c>
      <c r="AU171" s="24">
        <f t="shared" si="59"/>
        <v>3</v>
      </c>
      <c r="AV171" s="24">
        <f t="shared" si="59"/>
        <v>3</v>
      </c>
      <c r="AW171" s="24">
        <f t="shared" si="59"/>
        <v>3</v>
      </c>
      <c r="AX171" s="24">
        <f t="shared" si="59"/>
        <v>3</v>
      </c>
      <c r="AY171" s="24">
        <f t="shared" si="59"/>
        <v>3.5</v>
      </c>
      <c r="AZ171" s="24">
        <f t="shared" si="59"/>
        <v>3.5</v>
      </c>
      <c r="BA171" s="24">
        <f t="shared" si="59"/>
        <v>3.5</v>
      </c>
      <c r="BB171" s="24">
        <f t="shared" si="59"/>
        <v>3.5</v>
      </c>
      <c r="BD171" s="24">
        <f>SUM(BD168:BD170)</f>
        <v>2</v>
      </c>
      <c r="BE171" s="24">
        <f t="shared" ref="BE171:BO171" si="60">SUM(BE168:BE170)</f>
        <v>4</v>
      </c>
      <c r="BF171" s="24">
        <f t="shared" si="60"/>
        <v>4</v>
      </c>
      <c r="BG171" s="24">
        <f t="shared" si="60"/>
        <v>4</v>
      </c>
      <c r="BH171" s="24">
        <f t="shared" si="60"/>
        <v>4</v>
      </c>
      <c r="BI171" s="24">
        <f t="shared" si="60"/>
        <v>4</v>
      </c>
      <c r="BJ171" s="24">
        <f t="shared" si="60"/>
        <v>4</v>
      </c>
      <c r="BK171" s="24">
        <f t="shared" si="60"/>
        <v>4.5</v>
      </c>
      <c r="BL171" s="24">
        <f t="shared" si="60"/>
        <v>4.5</v>
      </c>
      <c r="BM171" s="24">
        <f t="shared" si="60"/>
        <v>4.5</v>
      </c>
      <c r="BN171" s="24">
        <f t="shared" si="60"/>
        <v>4.5</v>
      </c>
      <c r="BO171" s="24">
        <f t="shared" si="60"/>
        <v>4.5</v>
      </c>
      <c r="BQ171" s="24">
        <f>SUM(BQ168:BQ170)</f>
        <v>3</v>
      </c>
      <c r="BR171" s="24">
        <f t="shared" ref="BR171:CB171" si="61">SUM(BR168:BR170)</f>
        <v>4</v>
      </c>
      <c r="BS171" s="24">
        <f t="shared" si="61"/>
        <v>4.5</v>
      </c>
      <c r="BT171" s="24">
        <f t="shared" si="61"/>
        <v>4.5</v>
      </c>
      <c r="BU171" s="24">
        <f t="shared" si="61"/>
        <v>4.5</v>
      </c>
      <c r="BV171" s="24">
        <f t="shared" si="61"/>
        <v>4.5</v>
      </c>
      <c r="BW171" s="24">
        <f t="shared" si="61"/>
        <v>4.5</v>
      </c>
      <c r="BX171" s="24">
        <f t="shared" si="61"/>
        <v>4.5</v>
      </c>
      <c r="BY171" s="24">
        <f t="shared" si="61"/>
        <v>4.5</v>
      </c>
      <c r="BZ171" s="24">
        <f t="shared" si="61"/>
        <v>5</v>
      </c>
      <c r="CA171" s="24">
        <f t="shared" si="61"/>
        <v>5</v>
      </c>
      <c r="CB171" s="24">
        <f t="shared" si="61"/>
        <v>5</v>
      </c>
      <c r="CD171" s="323"/>
      <c r="CE171" s="323"/>
      <c r="CF171" s="24">
        <f>SUM(CF168:CF170)</f>
        <v>2</v>
      </c>
      <c r="CG171" s="24">
        <f t="shared" ref="CG171:CO171" si="62">SUM(CG168:CG170)</f>
        <v>4</v>
      </c>
      <c r="CH171" s="24">
        <f t="shared" si="62"/>
        <v>4</v>
      </c>
      <c r="CI171" s="24">
        <f t="shared" si="62"/>
        <v>4</v>
      </c>
      <c r="CJ171" s="24">
        <f t="shared" si="62"/>
        <v>4</v>
      </c>
      <c r="CK171" s="24">
        <f t="shared" si="62"/>
        <v>4</v>
      </c>
      <c r="CL171" s="24">
        <f t="shared" si="62"/>
        <v>4</v>
      </c>
      <c r="CM171" s="24">
        <f t="shared" si="62"/>
        <v>4</v>
      </c>
      <c r="CN171" s="24">
        <f t="shared" si="62"/>
        <v>4</v>
      </c>
      <c r="CO171" s="24">
        <f t="shared" si="62"/>
        <v>4</v>
      </c>
    </row>
    <row r="172" spans="1:95" x14ac:dyDescent="0.25">
      <c r="A172" s="18"/>
      <c r="B172" s="1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95" x14ac:dyDescent="0.25">
      <c r="A173" s="18"/>
      <c r="B173" s="1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</sheetData>
  <dataConsolidate/>
  <mergeCells count="7">
    <mergeCell ref="CD3:CO3"/>
    <mergeCell ref="D3:O3"/>
    <mergeCell ref="BQ3:CB3"/>
    <mergeCell ref="Q3:AB3"/>
    <mergeCell ref="AD3:AO3"/>
    <mergeCell ref="AQ3:BB3"/>
    <mergeCell ref="BD3:BO3"/>
  </mergeCells>
  <printOptions horizontalCentered="1"/>
  <pageMargins left="0.7" right="0.7" top="0.75" bottom="0.75" header="0.3" footer="0.3"/>
  <pageSetup paperSize="3" scale="82" fitToWidth="0" orientation="landscape" r:id="rId1"/>
  <headerFooter>
    <oddHeader>&amp;CNevada State High School
Tentative Budget for FY 2018 -2019 and a 12-year forecast to FY 2028 - 2029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>
      <selection activeCell="E36" sqref="E36"/>
    </sheetView>
  </sheetViews>
  <sheetFormatPr defaultColWidth="8.85546875" defaultRowHeight="15" x14ac:dyDescent="0.25"/>
  <cols>
    <col min="3" max="3" width="36.28515625" bestFit="1" customWidth="1"/>
    <col min="4" max="4" width="25.42578125" customWidth="1"/>
    <col min="5" max="16" width="14.7109375" customWidth="1"/>
  </cols>
  <sheetData>
    <row r="1" spans="1:17" x14ac:dyDescent="0.25">
      <c r="A1" s="30" t="s">
        <v>354</v>
      </c>
    </row>
    <row r="2" spans="1:17" x14ac:dyDescent="0.25">
      <c r="A2" s="30" t="str">
        <f ca="1">RIGHT(CELL("filename",A1),LEN(CELL("filename",A1))-FIND("]",CELL("filename",A1)))</f>
        <v>Assumptions</v>
      </c>
    </row>
    <row r="3" spans="1:17" ht="18.75" x14ac:dyDescent="0.3">
      <c r="A3" s="97" t="s">
        <v>359</v>
      </c>
      <c r="D3" s="256" t="s">
        <v>296</v>
      </c>
      <c r="E3" s="257">
        <f>COUNTA(E13,E24,E35,E46,E57,E68)</f>
        <v>5</v>
      </c>
      <c r="F3" s="257">
        <f t="shared" ref="F3:P3" si="0">COUNTA(F13,F24,F35,F46,F57,F68)</f>
        <v>5</v>
      </c>
      <c r="G3" s="257">
        <f t="shared" si="0"/>
        <v>6</v>
      </c>
      <c r="H3" s="257">
        <f t="shared" si="0"/>
        <v>6</v>
      </c>
      <c r="I3" s="257">
        <f t="shared" si="0"/>
        <v>6</v>
      </c>
      <c r="J3" s="257">
        <f t="shared" si="0"/>
        <v>6</v>
      </c>
      <c r="K3" s="257">
        <f t="shared" si="0"/>
        <v>6</v>
      </c>
      <c r="L3" s="257">
        <f t="shared" si="0"/>
        <v>6</v>
      </c>
      <c r="M3" s="257">
        <f t="shared" si="0"/>
        <v>6</v>
      </c>
      <c r="N3" s="257">
        <f t="shared" si="0"/>
        <v>6</v>
      </c>
      <c r="O3" s="257">
        <f t="shared" si="0"/>
        <v>6</v>
      </c>
      <c r="P3" s="257">
        <f t="shared" si="0"/>
        <v>6</v>
      </c>
    </row>
    <row r="4" spans="1:17" x14ac:dyDescent="0.25"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x14ac:dyDescent="0.25">
      <c r="E5" s="3" t="s">
        <v>61</v>
      </c>
      <c r="F5" s="3" t="s">
        <v>62</v>
      </c>
      <c r="G5" s="3" t="s">
        <v>63</v>
      </c>
      <c r="H5" s="3" t="s">
        <v>64</v>
      </c>
      <c r="I5" s="3" t="s">
        <v>65</v>
      </c>
      <c r="J5" s="3" t="s">
        <v>66</v>
      </c>
      <c r="K5" s="3" t="s">
        <v>204</v>
      </c>
      <c r="L5" s="3" t="s">
        <v>352</v>
      </c>
      <c r="M5" s="3" t="s">
        <v>353</v>
      </c>
      <c r="N5" s="3" t="s">
        <v>368</v>
      </c>
      <c r="O5" s="3" t="s">
        <v>368</v>
      </c>
      <c r="P5" s="3" t="s">
        <v>657</v>
      </c>
    </row>
    <row r="6" spans="1:17" x14ac:dyDescent="0.25">
      <c r="C6" s="246" t="s">
        <v>549</v>
      </c>
      <c r="D6" s="36">
        <v>11</v>
      </c>
      <c r="E6" s="187">
        <f t="shared" ref="E6:P6" si="1">E11+E22+E33+E44+E55</f>
        <v>420</v>
      </c>
      <c r="F6" s="187">
        <f t="shared" si="1"/>
        <v>470</v>
      </c>
      <c r="G6" s="187">
        <f t="shared" si="1"/>
        <v>500</v>
      </c>
      <c r="H6" s="187">
        <f t="shared" si="1"/>
        <v>520</v>
      </c>
      <c r="I6" s="187">
        <f t="shared" si="1"/>
        <v>530</v>
      </c>
      <c r="J6" s="187">
        <f t="shared" si="1"/>
        <v>560</v>
      </c>
      <c r="K6" s="187">
        <f t="shared" si="1"/>
        <v>570</v>
      </c>
      <c r="L6" s="187">
        <f t="shared" si="1"/>
        <v>590</v>
      </c>
      <c r="M6" s="187">
        <f t="shared" si="1"/>
        <v>610</v>
      </c>
      <c r="N6" s="187">
        <f t="shared" si="1"/>
        <v>630</v>
      </c>
      <c r="O6" s="187">
        <f t="shared" si="1"/>
        <v>650</v>
      </c>
      <c r="P6" s="187">
        <f t="shared" si="1"/>
        <v>670</v>
      </c>
    </row>
    <row r="7" spans="1:17" x14ac:dyDescent="0.25">
      <c r="C7" s="44"/>
      <c r="D7" s="36">
        <v>12</v>
      </c>
      <c r="E7" s="188">
        <f t="shared" ref="E7:P7" si="2">E12+E23+E34+E45+E56</f>
        <v>330</v>
      </c>
      <c r="F7" s="188">
        <f t="shared" si="2"/>
        <v>385</v>
      </c>
      <c r="G7" s="188">
        <f t="shared" si="2"/>
        <v>410</v>
      </c>
      <c r="H7" s="188">
        <f t="shared" si="2"/>
        <v>420</v>
      </c>
      <c r="I7" s="188">
        <f t="shared" si="2"/>
        <v>440</v>
      </c>
      <c r="J7" s="188">
        <f t="shared" si="2"/>
        <v>442</v>
      </c>
      <c r="K7" s="188">
        <f t="shared" si="2"/>
        <v>466</v>
      </c>
      <c r="L7" s="188">
        <f t="shared" si="2"/>
        <v>480</v>
      </c>
      <c r="M7" s="188">
        <f t="shared" si="2"/>
        <v>498</v>
      </c>
      <c r="N7" s="188">
        <f t="shared" si="2"/>
        <v>516</v>
      </c>
      <c r="O7" s="188">
        <f t="shared" si="2"/>
        <v>535</v>
      </c>
      <c r="P7" s="188">
        <f t="shared" si="2"/>
        <v>556</v>
      </c>
    </row>
    <row r="8" spans="1:17" x14ac:dyDescent="0.25">
      <c r="C8" s="44"/>
      <c r="E8">
        <f>SUM(E6:E7)</f>
        <v>750</v>
      </c>
      <c r="F8">
        <f t="shared" ref="F8:P8" si="3">SUM(F6:F7)</f>
        <v>855</v>
      </c>
      <c r="G8">
        <f t="shared" si="3"/>
        <v>910</v>
      </c>
      <c r="H8">
        <f t="shared" si="3"/>
        <v>940</v>
      </c>
      <c r="I8">
        <f t="shared" si="3"/>
        <v>970</v>
      </c>
      <c r="J8">
        <f t="shared" si="3"/>
        <v>1002</v>
      </c>
      <c r="K8">
        <f t="shared" si="3"/>
        <v>1036</v>
      </c>
      <c r="L8">
        <f t="shared" si="3"/>
        <v>1070</v>
      </c>
      <c r="M8">
        <f t="shared" si="3"/>
        <v>1108</v>
      </c>
      <c r="N8">
        <f t="shared" si="3"/>
        <v>1146</v>
      </c>
      <c r="O8">
        <f t="shared" si="3"/>
        <v>1185</v>
      </c>
      <c r="P8" s="2">
        <f t="shared" si="3"/>
        <v>1226</v>
      </c>
    </row>
    <row r="9" spans="1:17" x14ac:dyDescent="0.25"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x14ac:dyDescent="0.25">
      <c r="E10" s="3" t="s">
        <v>61</v>
      </c>
      <c r="F10" s="3" t="s">
        <v>62</v>
      </c>
      <c r="G10" s="3" t="s">
        <v>63</v>
      </c>
      <c r="H10" s="3" t="s">
        <v>64</v>
      </c>
      <c r="I10" s="3" t="s">
        <v>65</v>
      </c>
      <c r="J10" s="3" t="s">
        <v>66</v>
      </c>
      <c r="K10" s="3" t="s">
        <v>204</v>
      </c>
      <c r="L10" s="3" t="s">
        <v>352</v>
      </c>
      <c r="M10" s="3" t="s">
        <v>353</v>
      </c>
      <c r="N10" s="3" t="s">
        <v>368</v>
      </c>
      <c r="O10" s="3" t="s">
        <v>368</v>
      </c>
      <c r="P10" s="3" t="s">
        <v>657</v>
      </c>
    </row>
    <row r="11" spans="1:17" x14ac:dyDescent="0.25">
      <c r="A11" s="30" t="s">
        <v>46</v>
      </c>
      <c r="C11" s="227" t="s">
        <v>679</v>
      </c>
      <c r="D11" s="36">
        <v>11</v>
      </c>
      <c r="E11" s="187">
        <f>ROUND((E13*0.55),-1)</f>
        <v>170</v>
      </c>
      <c r="F11" s="187">
        <f>ROUND((F13*0.55),-1)</f>
        <v>170</v>
      </c>
      <c r="G11" s="187">
        <f t="shared" ref="G11:P11" si="4">ROUND((G13*0.55),-1)</f>
        <v>170</v>
      </c>
      <c r="H11" s="187">
        <f t="shared" si="4"/>
        <v>170</v>
      </c>
      <c r="I11" s="187">
        <f t="shared" si="4"/>
        <v>180</v>
      </c>
      <c r="J11" s="187">
        <f t="shared" si="4"/>
        <v>180</v>
      </c>
      <c r="K11" s="187">
        <f t="shared" si="4"/>
        <v>190</v>
      </c>
      <c r="L11" s="187">
        <f t="shared" si="4"/>
        <v>190</v>
      </c>
      <c r="M11" s="187">
        <f t="shared" si="4"/>
        <v>190</v>
      </c>
      <c r="N11" s="187">
        <f t="shared" si="4"/>
        <v>200</v>
      </c>
      <c r="O11" s="187">
        <f t="shared" si="4"/>
        <v>200</v>
      </c>
      <c r="P11" s="187">
        <f t="shared" si="4"/>
        <v>200</v>
      </c>
    </row>
    <row r="12" spans="1:17" s="44" customFormat="1" x14ac:dyDescent="0.25">
      <c r="D12" s="36">
        <v>12</v>
      </c>
      <c r="E12" s="188">
        <f>E13-E11</f>
        <v>130</v>
      </c>
      <c r="F12" s="188">
        <f>F13-F11</f>
        <v>136</v>
      </c>
      <c r="G12" s="188">
        <f t="shared" ref="G12:P12" si="5">G13-G11</f>
        <v>142</v>
      </c>
      <c r="H12" s="188">
        <f t="shared" si="5"/>
        <v>148</v>
      </c>
      <c r="I12" s="188">
        <f t="shared" si="5"/>
        <v>144</v>
      </c>
      <c r="J12" s="188">
        <f t="shared" si="5"/>
        <v>150</v>
      </c>
      <c r="K12" s="188">
        <f t="shared" si="5"/>
        <v>147</v>
      </c>
      <c r="L12" s="188">
        <f t="shared" si="5"/>
        <v>154</v>
      </c>
      <c r="M12" s="188">
        <f t="shared" si="5"/>
        <v>161</v>
      </c>
      <c r="N12" s="188">
        <f t="shared" si="5"/>
        <v>158</v>
      </c>
      <c r="O12" s="188">
        <f t="shared" si="5"/>
        <v>165</v>
      </c>
      <c r="P12" s="188">
        <f t="shared" si="5"/>
        <v>172</v>
      </c>
      <c r="Q12"/>
    </row>
    <row r="13" spans="1:17" s="44" customFormat="1" x14ac:dyDescent="0.25">
      <c r="E13" s="97">
        <v>300</v>
      </c>
      <c r="F13">
        <f>IF(ROUND(E13*(1+$D$14),0)&gt;=400,400,ROUND(E13*(1+$D$14),0))</f>
        <v>306</v>
      </c>
      <c r="G13">
        <f t="shared" ref="G13:P13" si="6">IF(ROUND(F13*(1+$D$14),0)&gt;=400,400,ROUND(F13*(1+$D$14),0))</f>
        <v>312</v>
      </c>
      <c r="H13">
        <f t="shared" si="6"/>
        <v>318</v>
      </c>
      <c r="I13">
        <f t="shared" si="6"/>
        <v>324</v>
      </c>
      <c r="J13">
        <f t="shared" si="6"/>
        <v>330</v>
      </c>
      <c r="K13">
        <f t="shared" si="6"/>
        <v>337</v>
      </c>
      <c r="L13">
        <f t="shared" si="6"/>
        <v>344</v>
      </c>
      <c r="M13">
        <f t="shared" si="6"/>
        <v>351</v>
      </c>
      <c r="N13">
        <f t="shared" si="6"/>
        <v>358</v>
      </c>
      <c r="O13">
        <f t="shared" si="6"/>
        <v>365</v>
      </c>
      <c r="P13">
        <f t="shared" si="6"/>
        <v>372</v>
      </c>
      <c r="Q13"/>
    </row>
    <row r="14" spans="1:17" x14ac:dyDescent="0.25">
      <c r="C14" s="30" t="s">
        <v>637</v>
      </c>
      <c r="D14" s="99">
        <v>0.02</v>
      </c>
    </row>
    <row r="15" spans="1:17" x14ac:dyDescent="0.25">
      <c r="B15" s="328" t="s">
        <v>708</v>
      </c>
      <c r="C15" s="30" t="s">
        <v>710</v>
      </c>
      <c r="D15" s="249" t="s">
        <v>173</v>
      </c>
      <c r="F15">
        <f>F13-E13</f>
        <v>6</v>
      </c>
      <c r="G15">
        <f t="shared" ref="G15:P15" si="7">G13-F13</f>
        <v>6</v>
      </c>
      <c r="H15">
        <f t="shared" si="7"/>
        <v>6</v>
      </c>
      <c r="I15">
        <f t="shared" si="7"/>
        <v>6</v>
      </c>
      <c r="J15">
        <f t="shared" si="7"/>
        <v>6</v>
      </c>
      <c r="K15">
        <f t="shared" si="7"/>
        <v>7</v>
      </c>
      <c r="L15">
        <f t="shared" si="7"/>
        <v>7</v>
      </c>
      <c r="M15">
        <f t="shared" si="7"/>
        <v>7</v>
      </c>
      <c r="N15">
        <f t="shared" si="7"/>
        <v>7</v>
      </c>
      <c r="O15">
        <f t="shared" si="7"/>
        <v>7</v>
      </c>
      <c r="P15">
        <f t="shared" si="7"/>
        <v>7</v>
      </c>
    </row>
    <row r="16" spans="1:17" x14ac:dyDescent="0.25">
      <c r="D16" s="249" t="s">
        <v>48</v>
      </c>
      <c r="E16">
        <f>COUNTA(E13)</f>
        <v>1</v>
      </c>
      <c r="F16">
        <f>COUNTA(F13)</f>
        <v>1</v>
      </c>
      <c r="G16">
        <f t="shared" ref="G16:P16" si="8">COUNTA(G13)</f>
        <v>1</v>
      </c>
      <c r="H16">
        <f t="shared" si="8"/>
        <v>1</v>
      </c>
      <c r="I16">
        <f t="shared" si="8"/>
        <v>1</v>
      </c>
      <c r="J16">
        <f t="shared" si="8"/>
        <v>1</v>
      </c>
      <c r="K16">
        <f t="shared" si="8"/>
        <v>1</v>
      </c>
      <c r="L16">
        <f t="shared" si="8"/>
        <v>1</v>
      </c>
      <c r="M16">
        <f t="shared" si="8"/>
        <v>1</v>
      </c>
      <c r="N16">
        <f t="shared" si="8"/>
        <v>1</v>
      </c>
      <c r="O16">
        <f t="shared" si="8"/>
        <v>1</v>
      </c>
      <c r="P16">
        <f t="shared" si="8"/>
        <v>1</v>
      </c>
    </row>
    <row r="17" spans="1:17" x14ac:dyDescent="0.25">
      <c r="D17" s="249" t="s">
        <v>761</v>
      </c>
      <c r="E17">
        <f>Site1!E188+Site1!E189</f>
        <v>2</v>
      </c>
      <c r="F17">
        <f>Site1!F188+Site1!F189</f>
        <v>2</v>
      </c>
      <c r="G17">
        <f>Site1!G188+Site1!G189</f>
        <v>2</v>
      </c>
      <c r="H17">
        <f>Site1!H188+Site1!H189</f>
        <v>2</v>
      </c>
      <c r="I17">
        <f>Site1!I188+Site1!I189</f>
        <v>2</v>
      </c>
      <c r="J17">
        <f>Site1!J188+Site1!J189</f>
        <v>2</v>
      </c>
      <c r="K17">
        <f>Site1!K188+Site1!K189</f>
        <v>2</v>
      </c>
      <c r="L17">
        <f>Site1!L188+Site1!L189</f>
        <v>2</v>
      </c>
      <c r="M17">
        <f>Site1!M188+Site1!M189</f>
        <v>2</v>
      </c>
      <c r="N17">
        <f>Site1!N188+Site1!N189</f>
        <v>2</v>
      </c>
      <c r="O17">
        <f>Site1!O188+Site1!O189</f>
        <v>2</v>
      </c>
      <c r="P17">
        <f>Site1!P188+Site1!P189</f>
        <v>2</v>
      </c>
    </row>
    <row r="18" spans="1:17" x14ac:dyDescent="0.25">
      <c r="B18" s="328" t="s">
        <v>708</v>
      </c>
      <c r="C18" s="30" t="s">
        <v>712</v>
      </c>
      <c r="D18" s="249" t="s">
        <v>49</v>
      </c>
      <c r="E18">
        <f>Site1!E205</f>
        <v>7</v>
      </c>
      <c r="F18">
        <f>Site1!F205</f>
        <v>7</v>
      </c>
      <c r="G18">
        <f>Site1!G205</f>
        <v>7</v>
      </c>
      <c r="H18">
        <f>Site1!H205</f>
        <v>7</v>
      </c>
      <c r="I18">
        <f>Site1!I205</f>
        <v>7</v>
      </c>
      <c r="J18">
        <f>Site1!J205</f>
        <v>7</v>
      </c>
      <c r="K18">
        <f>Site1!K205</f>
        <v>7</v>
      </c>
      <c r="L18">
        <f>Site1!L205</f>
        <v>7</v>
      </c>
      <c r="M18">
        <f>Site1!M205</f>
        <v>7</v>
      </c>
      <c r="N18">
        <f>Site1!N205</f>
        <v>7</v>
      </c>
      <c r="O18">
        <f>Site1!O205</f>
        <v>7</v>
      </c>
      <c r="P18">
        <f>Site1!P205</f>
        <v>7</v>
      </c>
    </row>
    <row r="19" spans="1:17" x14ac:dyDescent="0.25">
      <c r="C19" s="30" t="s">
        <v>172</v>
      </c>
      <c r="D19" s="99">
        <v>0.02</v>
      </c>
    </row>
    <row r="20" spans="1:17" x14ac:dyDescent="0.25">
      <c r="C20" s="30"/>
      <c r="D20" s="99"/>
    </row>
    <row r="21" spans="1:17" x14ac:dyDescent="0.25">
      <c r="C21" s="30"/>
      <c r="D21" s="61"/>
      <c r="E21" s="3" t="s">
        <v>61</v>
      </c>
      <c r="F21" s="3" t="s">
        <v>62</v>
      </c>
      <c r="G21" s="3" t="s">
        <v>63</v>
      </c>
      <c r="H21" s="3" t="s">
        <v>64</v>
      </c>
      <c r="I21" s="3" t="s">
        <v>65</v>
      </c>
      <c r="J21" s="3" t="s">
        <v>66</v>
      </c>
      <c r="K21" s="3" t="s">
        <v>204</v>
      </c>
      <c r="L21" s="3" t="s">
        <v>352</v>
      </c>
      <c r="M21" s="3" t="s">
        <v>353</v>
      </c>
      <c r="N21" s="3" t="s">
        <v>368</v>
      </c>
      <c r="O21" s="3" t="s">
        <v>368</v>
      </c>
      <c r="P21" s="3" t="s">
        <v>657</v>
      </c>
    </row>
    <row r="22" spans="1:17" x14ac:dyDescent="0.25">
      <c r="A22" s="30" t="s">
        <v>46</v>
      </c>
      <c r="C22" s="225" t="s">
        <v>358</v>
      </c>
      <c r="D22">
        <v>11</v>
      </c>
      <c r="E22" s="187">
        <f>ROUND((E24*0.55),-1)</f>
        <v>110</v>
      </c>
      <c r="F22" s="187">
        <f>ROUND((F24*0.55),-1)</f>
        <v>110</v>
      </c>
      <c r="G22" s="187">
        <f t="shared" ref="G22:P22" si="9">ROUND((G24*0.55),-1)</f>
        <v>110</v>
      </c>
      <c r="H22" s="187">
        <f t="shared" si="9"/>
        <v>120</v>
      </c>
      <c r="I22" s="187">
        <f t="shared" si="9"/>
        <v>120</v>
      </c>
      <c r="J22" s="187">
        <f t="shared" si="9"/>
        <v>120</v>
      </c>
      <c r="K22" s="187">
        <f t="shared" si="9"/>
        <v>120</v>
      </c>
      <c r="L22" s="187">
        <f t="shared" si="9"/>
        <v>130</v>
      </c>
      <c r="M22" s="187">
        <f t="shared" si="9"/>
        <v>130</v>
      </c>
      <c r="N22" s="187">
        <f t="shared" si="9"/>
        <v>130</v>
      </c>
      <c r="O22" s="187">
        <f t="shared" si="9"/>
        <v>130</v>
      </c>
      <c r="P22" s="187">
        <f t="shared" si="9"/>
        <v>140</v>
      </c>
    </row>
    <row r="23" spans="1:17" s="44" customFormat="1" x14ac:dyDescent="0.25">
      <c r="D23">
        <v>12</v>
      </c>
      <c r="E23" s="188">
        <f t="shared" ref="E23:P23" si="10">E24-E22</f>
        <v>90</v>
      </c>
      <c r="F23" s="188">
        <f t="shared" si="10"/>
        <v>94</v>
      </c>
      <c r="G23" s="188">
        <f t="shared" si="10"/>
        <v>98</v>
      </c>
      <c r="H23" s="188">
        <f t="shared" si="10"/>
        <v>92</v>
      </c>
      <c r="I23" s="188">
        <f t="shared" si="10"/>
        <v>96</v>
      </c>
      <c r="J23" s="188">
        <f t="shared" si="10"/>
        <v>100</v>
      </c>
      <c r="K23" s="188">
        <f t="shared" si="10"/>
        <v>104</v>
      </c>
      <c r="L23" s="188">
        <f t="shared" si="10"/>
        <v>98</v>
      </c>
      <c r="M23" s="188">
        <f t="shared" si="10"/>
        <v>103</v>
      </c>
      <c r="N23" s="188">
        <f t="shared" si="10"/>
        <v>108</v>
      </c>
      <c r="O23" s="188">
        <f t="shared" si="10"/>
        <v>113</v>
      </c>
      <c r="P23" s="188">
        <f t="shared" si="10"/>
        <v>108</v>
      </c>
      <c r="Q23"/>
    </row>
    <row r="24" spans="1:17" s="44" customFormat="1" x14ac:dyDescent="0.25">
      <c r="E24" s="97">
        <v>200</v>
      </c>
      <c r="F24">
        <f>IF(ROUND(E24*(1+$D$25),0)&gt;=350,350,ROUND(E24*(1+$D$25),0))</f>
        <v>204</v>
      </c>
      <c r="G24">
        <f t="shared" ref="G24:P24" si="11">IF(ROUND(F24*(1+$D$25),0)&gt;=350,350,ROUND(F24*(1+$D$25),0))</f>
        <v>208</v>
      </c>
      <c r="H24">
        <f t="shared" si="11"/>
        <v>212</v>
      </c>
      <c r="I24">
        <f t="shared" si="11"/>
        <v>216</v>
      </c>
      <c r="J24">
        <f t="shared" si="11"/>
        <v>220</v>
      </c>
      <c r="K24">
        <f t="shared" si="11"/>
        <v>224</v>
      </c>
      <c r="L24">
        <f t="shared" si="11"/>
        <v>228</v>
      </c>
      <c r="M24">
        <f t="shared" si="11"/>
        <v>233</v>
      </c>
      <c r="N24">
        <f t="shared" si="11"/>
        <v>238</v>
      </c>
      <c r="O24">
        <f t="shared" si="11"/>
        <v>243</v>
      </c>
      <c r="P24">
        <f t="shared" si="11"/>
        <v>248</v>
      </c>
      <c r="Q24"/>
    </row>
    <row r="25" spans="1:17" s="36" customFormat="1" x14ac:dyDescent="0.25">
      <c r="C25" s="30" t="s">
        <v>637</v>
      </c>
      <c r="D25" s="99">
        <v>0.02</v>
      </c>
      <c r="Q25"/>
    </row>
    <row r="26" spans="1:17" s="36" customFormat="1" x14ac:dyDescent="0.25">
      <c r="B26" s="328" t="s">
        <v>708</v>
      </c>
      <c r="C26" s="30" t="s">
        <v>710</v>
      </c>
      <c r="D26" s="249" t="s">
        <v>173</v>
      </c>
      <c r="E26"/>
      <c r="F26">
        <f>F24-E24</f>
        <v>4</v>
      </c>
      <c r="G26">
        <f t="shared" ref="G26:P26" si="12">G24-F24</f>
        <v>4</v>
      </c>
      <c r="H26">
        <f t="shared" si="12"/>
        <v>4</v>
      </c>
      <c r="I26">
        <f t="shared" si="12"/>
        <v>4</v>
      </c>
      <c r="J26">
        <f t="shared" si="12"/>
        <v>4</v>
      </c>
      <c r="K26">
        <f t="shared" si="12"/>
        <v>4</v>
      </c>
      <c r="L26">
        <f t="shared" si="12"/>
        <v>4</v>
      </c>
      <c r="M26">
        <f t="shared" si="12"/>
        <v>5</v>
      </c>
      <c r="N26">
        <f t="shared" si="12"/>
        <v>5</v>
      </c>
      <c r="O26">
        <f t="shared" si="12"/>
        <v>5</v>
      </c>
      <c r="P26">
        <f t="shared" si="12"/>
        <v>5</v>
      </c>
      <c r="Q26"/>
    </row>
    <row r="27" spans="1:17" x14ac:dyDescent="0.25">
      <c r="D27" s="249" t="s">
        <v>48</v>
      </c>
      <c r="E27">
        <f>COUNTA(E24)</f>
        <v>1</v>
      </c>
      <c r="F27">
        <f>COUNTA(F24)</f>
        <v>1</v>
      </c>
      <c r="G27">
        <f t="shared" ref="G27:P27" si="13">COUNTA(G24)</f>
        <v>1</v>
      </c>
      <c r="H27">
        <f t="shared" si="13"/>
        <v>1</v>
      </c>
      <c r="I27">
        <f t="shared" si="13"/>
        <v>1</v>
      </c>
      <c r="J27">
        <f t="shared" si="13"/>
        <v>1</v>
      </c>
      <c r="K27">
        <f t="shared" si="13"/>
        <v>1</v>
      </c>
      <c r="L27">
        <f t="shared" si="13"/>
        <v>1</v>
      </c>
      <c r="M27">
        <f t="shared" si="13"/>
        <v>1</v>
      </c>
      <c r="N27">
        <f t="shared" si="13"/>
        <v>1</v>
      </c>
      <c r="O27">
        <f t="shared" si="13"/>
        <v>1</v>
      </c>
      <c r="P27">
        <f t="shared" si="13"/>
        <v>1</v>
      </c>
    </row>
    <row r="28" spans="1:17" x14ac:dyDescent="0.25">
      <c r="D28" s="249" t="s">
        <v>761</v>
      </c>
      <c r="E28">
        <f>Site2!E188+Site2!E189</f>
        <v>2</v>
      </c>
      <c r="F28">
        <f>Site2!F188+Site2!F189</f>
        <v>2</v>
      </c>
      <c r="G28">
        <f>Site2!G188+Site2!G189</f>
        <v>2</v>
      </c>
      <c r="H28">
        <f>Site2!H188+Site2!H189</f>
        <v>2</v>
      </c>
      <c r="I28">
        <f>Site2!I188+Site2!I189</f>
        <v>2</v>
      </c>
      <c r="J28">
        <f>Site2!J188+Site2!J189</f>
        <v>2</v>
      </c>
      <c r="K28">
        <f>Site2!K188+Site2!K189</f>
        <v>2</v>
      </c>
      <c r="L28">
        <f>Site2!L188+Site2!L189</f>
        <v>2</v>
      </c>
      <c r="M28">
        <f>Site2!M188+Site2!M189</f>
        <v>2</v>
      </c>
      <c r="N28">
        <f>Site2!N188+Site2!N189</f>
        <v>2</v>
      </c>
      <c r="O28">
        <f>Site2!O188+Site2!O189</f>
        <v>2</v>
      </c>
      <c r="P28">
        <f>Site2!P188+Site2!P189</f>
        <v>2</v>
      </c>
    </row>
    <row r="29" spans="1:17" x14ac:dyDescent="0.25">
      <c r="B29" s="328" t="s">
        <v>708</v>
      </c>
      <c r="C29" s="30" t="s">
        <v>712</v>
      </c>
      <c r="D29" s="249" t="s">
        <v>49</v>
      </c>
      <c r="E29">
        <f>Site2!E205</f>
        <v>5</v>
      </c>
      <c r="F29">
        <f>Site2!F205</f>
        <v>6</v>
      </c>
      <c r="G29">
        <f>Site2!G205</f>
        <v>6</v>
      </c>
      <c r="H29">
        <f>Site2!H205</f>
        <v>6</v>
      </c>
      <c r="I29">
        <f>Site2!I205</f>
        <v>6</v>
      </c>
      <c r="J29">
        <f>Site2!J205</f>
        <v>6</v>
      </c>
      <c r="K29">
        <f>Site2!K205</f>
        <v>6</v>
      </c>
      <c r="L29">
        <f>Site2!L205</f>
        <v>6</v>
      </c>
      <c r="M29">
        <f>Site2!M205</f>
        <v>6</v>
      </c>
      <c r="N29">
        <f>Site2!N205</f>
        <v>6</v>
      </c>
      <c r="O29">
        <f>Site2!O205</f>
        <v>6</v>
      </c>
      <c r="P29">
        <f>Site2!P205</f>
        <v>6</v>
      </c>
    </row>
    <row r="30" spans="1:17" x14ac:dyDescent="0.25">
      <c r="C30" s="30" t="s">
        <v>172</v>
      </c>
      <c r="D30" s="99">
        <v>0.02</v>
      </c>
    </row>
    <row r="31" spans="1:17" x14ac:dyDescent="0.25">
      <c r="C31" s="30"/>
      <c r="D31" s="99"/>
    </row>
    <row r="32" spans="1:17" ht="16.5" customHeight="1" x14ac:dyDescent="0.25">
      <c r="C32" s="30"/>
      <c r="D32" s="61"/>
      <c r="E32" s="3" t="s">
        <v>61</v>
      </c>
      <c r="F32" s="3" t="s">
        <v>62</v>
      </c>
      <c r="G32" s="3" t="s">
        <v>63</v>
      </c>
      <c r="H32" s="3" t="s">
        <v>64</v>
      </c>
      <c r="I32" s="3" t="s">
        <v>65</v>
      </c>
      <c r="J32" s="3" t="s">
        <v>66</v>
      </c>
      <c r="K32" s="3" t="s">
        <v>204</v>
      </c>
      <c r="L32" s="3" t="s">
        <v>352</v>
      </c>
      <c r="M32" s="3" t="s">
        <v>353</v>
      </c>
      <c r="N32" s="3" t="s">
        <v>368</v>
      </c>
      <c r="O32" s="3" t="s">
        <v>368</v>
      </c>
      <c r="P32" s="3" t="s">
        <v>657</v>
      </c>
    </row>
    <row r="33" spans="1:16" x14ac:dyDescent="0.25">
      <c r="A33" s="30" t="s">
        <v>46</v>
      </c>
      <c r="C33" s="224" t="s">
        <v>674</v>
      </c>
      <c r="D33">
        <v>11</v>
      </c>
      <c r="E33" s="187">
        <f>ROUND((E35*0.55),-1)</f>
        <v>50</v>
      </c>
      <c r="F33" s="187">
        <f>ROUND((F35*0.55),-1)</f>
        <v>60</v>
      </c>
      <c r="G33" s="187">
        <f t="shared" ref="G33:P33" si="14">ROUND((G35*0.55),-1)</f>
        <v>70</v>
      </c>
      <c r="H33" s="187">
        <f>ROUND((H35*0.55),-1)</f>
        <v>70</v>
      </c>
      <c r="I33" s="187">
        <f t="shared" si="14"/>
        <v>70</v>
      </c>
      <c r="J33" s="187">
        <f t="shared" si="14"/>
        <v>80</v>
      </c>
      <c r="K33" s="187">
        <f t="shared" si="14"/>
        <v>80</v>
      </c>
      <c r="L33" s="187">
        <f t="shared" si="14"/>
        <v>80</v>
      </c>
      <c r="M33" s="187">
        <f t="shared" si="14"/>
        <v>90</v>
      </c>
      <c r="N33" s="187">
        <f t="shared" si="14"/>
        <v>90</v>
      </c>
      <c r="O33" s="187">
        <f t="shared" si="14"/>
        <v>100</v>
      </c>
      <c r="P33" s="187">
        <f t="shared" si="14"/>
        <v>100</v>
      </c>
    </row>
    <row r="34" spans="1:16" x14ac:dyDescent="0.25">
      <c r="D34">
        <v>12</v>
      </c>
      <c r="E34" s="188">
        <f>E35-E33</f>
        <v>35</v>
      </c>
      <c r="F34" s="188">
        <f>F35-F33</f>
        <v>50</v>
      </c>
      <c r="G34" s="188">
        <f t="shared" ref="G34:P34" si="15">G35-G33</f>
        <v>50</v>
      </c>
      <c r="H34" s="188">
        <f t="shared" si="15"/>
        <v>56</v>
      </c>
      <c r="I34" s="188">
        <f t="shared" si="15"/>
        <v>62</v>
      </c>
      <c r="J34" s="188">
        <f t="shared" si="15"/>
        <v>59</v>
      </c>
      <c r="K34" s="188">
        <f t="shared" si="15"/>
        <v>66</v>
      </c>
      <c r="L34" s="188">
        <f t="shared" si="15"/>
        <v>73</v>
      </c>
      <c r="M34" s="188">
        <f t="shared" si="15"/>
        <v>71</v>
      </c>
      <c r="N34" s="188">
        <f t="shared" si="15"/>
        <v>79</v>
      </c>
      <c r="O34" s="188">
        <f t="shared" si="15"/>
        <v>77</v>
      </c>
      <c r="P34" s="188">
        <f t="shared" si="15"/>
        <v>86</v>
      </c>
    </row>
    <row r="35" spans="1:16" x14ac:dyDescent="0.25">
      <c r="E35" s="97">
        <v>85</v>
      </c>
      <c r="F35" s="97">
        <v>110</v>
      </c>
      <c r="G35" s="97">
        <v>120</v>
      </c>
      <c r="H35">
        <f>IF(ROUND(G35*(1+$D$36),0)&gt;=250,250,ROUND(G35*(1+$D$36),0))</f>
        <v>126</v>
      </c>
      <c r="I35">
        <f t="shared" ref="I35:P35" si="16">IF(ROUND(H35*(1+$D$36),0)&gt;=250,250,ROUND(H35*(1+$D$36),0))</f>
        <v>132</v>
      </c>
      <c r="J35">
        <f t="shared" si="16"/>
        <v>139</v>
      </c>
      <c r="K35">
        <f t="shared" si="16"/>
        <v>146</v>
      </c>
      <c r="L35">
        <f t="shared" si="16"/>
        <v>153</v>
      </c>
      <c r="M35">
        <f t="shared" si="16"/>
        <v>161</v>
      </c>
      <c r="N35">
        <f t="shared" si="16"/>
        <v>169</v>
      </c>
      <c r="O35">
        <f t="shared" si="16"/>
        <v>177</v>
      </c>
      <c r="P35">
        <f t="shared" si="16"/>
        <v>186</v>
      </c>
    </row>
    <row r="36" spans="1:16" x14ac:dyDescent="0.25">
      <c r="C36" s="30" t="s">
        <v>637</v>
      </c>
      <c r="D36" s="99">
        <v>0.05</v>
      </c>
    </row>
    <row r="37" spans="1:16" x14ac:dyDescent="0.25">
      <c r="B37" s="328" t="s">
        <v>708</v>
      </c>
      <c r="C37" s="30" t="s">
        <v>710</v>
      </c>
      <c r="D37" s="249" t="s">
        <v>173</v>
      </c>
      <c r="F37">
        <f t="shared" ref="F37" si="17">F35-E35</f>
        <v>25</v>
      </c>
      <c r="G37">
        <f t="shared" ref="G37" si="18">G35-F35</f>
        <v>10</v>
      </c>
      <c r="H37">
        <f t="shared" ref="H37" si="19">H35-G35</f>
        <v>6</v>
      </c>
      <c r="I37">
        <f t="shared" ref="I37" si="20">I35-H35</f>
        <v>6</v>
      </c>
      <c r="J37">
        <f t="shared" ref="J37" si="21">J35-I35</f>
        <v>7</v>
      </c>
      <c r="K37">
        <f t="shared" ref="K37" si="22">K35-J35</f>
        <v>7</v>
      </c>
      <c r="L37">
        <f t="shared" ref="L37" si="23">L35-K35</f>
        <v>7</v>
      </c>
      <c r="M37">
        <f t="shared" ref="M37" si="24">M35-L35</f>
        <v>8</v>
      </c>
      <c r="N37">
        <f t="shared" ref="N37" si="25">N35-M35</f>
        <v>8</v>
      </c>
      <c r="O37">
        <f t="shared" ref="O37" si="26">O35-N35</f>
        <v>8</v>
      </c>
      <c r="P37">
        <f t="shared" ref="P37" si="27">P35-O35</f>
        <v>9</v>
      </c>
    </row>
    <row r="38" spans="1:16" x14ac:dyDescent="0.25">
      <c r="D38" s="249" t="s">
        <v>48</v>
      </c>
      <c r="E38">
        <f>COUNTA(E35)</f>
        <v>1</v>
      </c>
      <c r="F38">
        <f>COUNTA(F35)</f>
        <v>1</v>
      </c>
      <c r="G38">
        <f t="shared" ref="G38:P38" si="28">COUNTA(G35)</f>
        <v>1</v>
      </c>
      <c r="H38">
        <f t="shared" si="28"/>
        <v>1</v>
      </c>
      <c r="I38">
        <f t="shared" si="28"/>
        <v>1</v>
      </c>
      <c r="J38">
        <f t="shared" si="28"/>
        <v>1</v>
      </c>
      <c r="K38">
        <f t="shared" si="28"/>
        <v>1</v>
      </c>
      <c r="L38">
        <f t="shared" si="28"/>
        <v>1</v>
      </c>
      <c r="M38">
        <f t="shared" si="28"/>
        <v>1</v>
      </c>
      <c r="N38">
        <f t="shared" si="28"/>
        <v>1</v>
      </c>
      <c r="O38">
        <f t="shared" si="28"/>
        <v>1</v>
      </c>
      <c r="P38">
        <f t="shared" si="28"/>
        <v>1</v>
      </c>
    </row>
    <row r="39" spans="1:16" x14ac:dyDescent="0.25">
      <c r="D39" s="249" t="s">
        <v>761</v>
      </c>
      <c r="E39">
        <f>Site3!E188+Site3!E189</f>
        <v>1</v>
      </c>
      <c r="F39">
        <f>Site3!F188+Site3!F189</f>
        <v>1</v>
      </c>
      <c r="G39">
        <f>Site3!G188+Site3!G189</f>
        <v>1</v>
      </c>
      <c r="H39">
        <f>Site3!H188+Site3!H189</f>
        <v>1</v>
      </c>
      <c r="I39">
        <f>Site3!I188+Site3!I189</f>
        <v>1</v>
      </c>
      <c r="J39">
        <f>Site3!J188+Site3!J189</f>
        <v>1</v>
      </c>
      <c r="K39">
        <f>Site3!K188+Site3!K189</f>
        <v>1</v>
      </c>
      <c r="L39">
        <f>Site3!L188+Site3!L189</f>
        <v>1</v>
      </c>
      <c r="M39">
        <f>Site3!M188+Site3!M189</f>
        <v>1.5</v>
      </c>
      <c r="N39">
        <f>Site3!N188+Site3!N189</f>
        <v>1.5</v>
      </c>
      <c r="O39">
        <f>Site3!O188+Site3!O189</f>
        <v>1.5</v>
      </c>
      <c r="P39">
        <f>Site3!P188+Site3!P189</f>
        <v>1.5</v>
      </c>
    </row>
    <row r="40" spans="1:16" x14ac:dyDescent="0.25">
      <c r="B40" s="328" t="s">
        <v>708</v>
      </c>
      <c r="C40" s="30" t="s">
        <v>712</v>
      </c>
      <c r="D40" s="249" t="s">
        <v>49</v>
      </c>
      <c r="E40">
        <f>Site3!E205</f>
        <v>2</v>
      </c>
      <c r="F40">
        <f>Site3!F205</f>
        <v>3</v>
      </c>
      <c r="G40">
        <f>Site3!G205</f>
        <v>3</v>
      </c>
      <c r="H40">
        <f>Site3!H205</f>
        <v>3</v>
      </c>
      <c r="I40">
        <f>Site3!I205</f>
        <v>3</v>
      </c>
      <c r="J40">
        <f>Site3!J205</f>
        <v>3</v>
      </c>
      <c r="K40">
        <f>Site3!K205</f>
        <v>3</v>
      </c>
      <c r="L40">
        <f>Site3!L205</f>
        <v>3</v>
      </c>
      <c r="M40">
        <f>Site3!M205</f>
        <v>3.5</v>
      </c>
      <c r="N40">
        <f>Site3!N205</f>
        <v>3.5</v>
      </c>
      <c r="O40">
        <f>Site3!O205</f>
        <v>3.5</v>
      </c>
      <c r="P40">
        <f>Site3!P205</f>
        <v>3.5</v>
      </c>
    </row>
    <row r="41" spans="1:16" x14ac:dyDescent="0.25">
      <c r="C41" s="30" t="s">
        <v>172</v>
      </c>
      <c r="D41" s="99">
        <v>0.02</v>
      </c>
    </row>
    <row r="42" spans="1:16" x14ac:dyDescent="0.25">
      <c r="C42" s="30"/>
      <c r="D42" s="99"/>
    </row>
    <row r="43" spans="1:16" x14ac:dyDescent="0.25">
      <c r="C43" s="30"/>
      <c r="D43" s="61"/>
      <c r="E43" s="3" t="s">
        <v>61</v>
      </c>
      <c r="F43" s="3" t="s">
        <v>62</v>
      </c>
      <c r="G43" s="3" t="s">
        <v>63</v>
      </c>
      <c r="H43" s="3" t="s">
        <v>64</v>
      </c>
      <c r="I43" s="3" t="s">
        <v>65</v>
      </c>
      <c r="J43" s="3" t="s">
        <v>66</v>
      </c>
      <c r="K43" s="3" t="s">
        <v>204</v>
      </c>
      <c r="L43" s="3" t="s">
        <v>352</v>
      </c>
      <c r="M43" s="3" t="s">
        <v>353</v>
      </c>
      <c r="N43" s="3" t="s">
        <v>368</v>
      </c>
      <c r="O43" s="3" t="s">
        <v>368</v>
      </c>
      <c r="P43" s="3" t="s">
        <v>657</v>
      </c>
    </row>
    <row r="44" spans="1:16" x14ac:dyDescent="0.25">
      <c r="A44" s="30" t="s">
        <v>46</v>
      </c>
      <c r="C44" s="223" t="s">
        <v>677</v>
      </c>
      <c r="D44">
        <v>11</v>
      </c>
      <c r="E44" s="187">
        <f>ROUND((E46*0.55),-1)</f>
        <v>50</v>
      </c>
      <c r="F44" s="187">
        <f>ROUND((F46*0.55),-1)</f>
        <v>70</v>
      </c>
      <c r="G44" s="187">
        <f>ROUND((G46*0.55),-1)</f>
        <v>80</v>
      </c>
      <c r="H44" s="187">
        <f>ROUND((H46*0.55),-1)</f>
        <v>90</v>
      </c>
      <c r="I44" s="187">
        <f t="shared" ref="I44:P44" si="29">ROUND((I46*0.55),-1)</f>
        <v>90</v>
      </c>
      <c r="J44" s="187">
        <f t="shared" si="29"/>
        <v>100</v>
      </c>
      <c r="K44" s="187">
        <f t="shared" si="29"/>
        <v>100</v>
      </c>
      <c r="L44" s="187">
        <f t="shared" si="29"/>
        <v>110</v>
      </c>
      <c r="M44" s="187">
        <f t="shared" si="29"/>
        <v>110</v>
      </c>
      <c r="N44" s="187">
        <f t="shared" si="29"/>
        <v>120</v>
      </c>
      <c r="O44" s="187">
        <f t="shared" si="29"/>
        <v>120</v>
      </c>
      <c r="P44" s="187">
        <f t="shared" si="29"/>
        <v>130</v>
      </c>
    </row>
    <row r="45" spans="1:16" x14ac:dyDescent="0.25">
      <c r="D45">
        <v>12</v>
      </c>
      <c r="E45" s="188">
        <f>E46-E44</f>
        <v>40</v>
      </c>
      <c r="F45" s="188">
        <f>F46-F44</f>
        <v>60</v>
      </c>
      <c r="G45" s="188">
        <f t="shared" ref="G45:P45" si="30">G46-G44</f>
        <v>70</v>
      </c>
      <c r="H45" s="188">
        <f t="shared" si="30"/>
        <v>68</v>
      </c>
      <c r="I45" s="188">
        <f t="shared" si="30"/>
        <v>76</v>
      </c>
      <c r="J45" s="188">
        <f t="shared" si="30"/>
        <v>74</v>
      </c>
      <c r="K45" s="188">
        <f t="shared" si="30"/>
        <v>83</v>
      </c>
      <c r="L45" s="188">
        <f t="shared" si="30"/>
        <v>82</v>
      </c>
      <c r="M45" s="188">
        <f t="shared" si="30"/>
        <v>92</v>
      </c>
      <c r="N45" s="188">
        <f t="shared" si="30"/>
        <v>92</v>
      </c>
      <c r="O45" s="188">
        <f t="shared" si="30"/>
        <v>103</v>
      </c>
      <c r="P45" s="188">
        <f t="shared" si="30"/>
        <v>104</v>
      </c>
    </row>
    <row r="46" spans="1:16" x14ac:dyDescent="0.25">
      <c r="E46" s="97">
        <v>90</v>
      </c>
      <c r="F46" s="97">
        <v>130</v>
      </c>
      <c r="G46" s="97">
        <v>150</v>
      </c>
      <c r="H46">
        <f>IF(ROUND(G46*(1+$D$47),0)&gt;=250,250,ROUND(G46*(1+$D$47),0))</f>
        <v>158</v>
      </c>
      <c r="I46">
        <f t="shared" ref="I46:P46" si="31">IF(ROUND(H46*(1+$D$47),0)&gt;=250,250,ROUND(H46*(1+$D$47),0))</f>
        <v>166</v>
      </c>
      <c r="J46">
        <f t="shared" si="31"/>
        <v>174</v>
      </c>
      <c r="K46">
        <f t="shared" si="31"/>
        <v>183</v>
      </c>
      <c r="L46">
        <f t="shared" si="31"/>
        <v>192</v>
      </c>
      <c r="M46">
        <f t="shared" si="31"/>
        <v>202</v>
      </c>
      <c r="N46">
        <f t="shared" si="31"/>
        <v>212</v>
      </c>
      <c r="O46">
        <f t="shared" si="31"/>
        <v>223</v>
      </c>
      <c r="P46">
        <f t="shared" si="31"/>
        <v>234</v>
      </c>
    </row>
    <row r="47" spans="1:16" x14ac:dyDescent="0.25">
      <c r="C47" s="30" t="s">
        <v>637</v>
      </c>
      <c r="D47" s="99">
        <v>0.05</v>
      </c>
    </row>
    <row r="48" spans="1:16" x14ac:dyDescent="0.25">
      <c r="B48" s="328" t="s">
        <v>708</v>
      </c>
      <c r="C48" s="30" t="s">
        <v>710</v>
      </c>
      <c r="D48" s="249" t="s">
        <v>173</v>
      </c>
      <c r="F48">
        <f t="shared" ref="F48" si="32">F46-E46</f>
        <v>40</v>
      </c>
      <c r="G48">
        <f t="shared" ref="G48" si="33">G46-F46</f>
        <v>20</v>
      </c>
      <c r="H48">
        <f t="shared" ref="H48" si="34">H46-G46</f>
        <v>8</v>
      </c>
      <c r="I48">
        <f t="shared" ref="I48" si="35">I46-H46</f>
        <v>8</v>
      </c>
      <c r="J48">
        <f t="shared" ref="J48" si="36">J46-I46</f>
        <v>8</v>
      </c>
      <c r="K48">
        <f t="shared" ref="K48" si="37">K46-J46</f>
        <v>9</v>
      </c>
      <c r="L48">
        <f t="shared" ref="L48" si="38">L46-K46</f>
        <v>9</v>
      </c>
      <c r="M48">
        <f t="shared" ref="M48" si="39">M46-L46</f>
        <v>10</v>
      </c>
      <c r="N48">
        <f t="shared" ref="N48" si="40">N46-M46</f>
        <v>10</v>
      </c>
      <c r="O48">
        <f t="shared" ref="O48" si="41">O46-N46</f>
        <v>11</v>
      </c>
      <c r="P48">
        <f t="shared" ref="P48" si="42">P46-O46</f>
        <v>11</v>
      </c>
    </row>
    <row r="49" spans="1:16" x14ac:dyDescent="0.25">
      <c r="D49" s="249" t="s">
        <v>48</v>
      </c>
      <c r="E49">
        <f>COUNTA(E46)</f>
        <v>1</v>
      </c>
      <c r="F49">
        <f>COUNTA(F46)</f>
        <v>1</v>
      </c>
      <c r="G49">
        <f t="shared" ref="G49:P49" si="43">COUNTA(G46)</f>
        <v>1</v>
      </c>
      <c r="H49">
        <f t="shared" si="43"/>
        <v>1</v>
      </c>
      <c r="I49">
        <f t="shared" si="43"/>
        <v>1</v>
      </c>
      <c r="J49">
        <f t="shared" si="43"/>
        <v>1</v>
      </c>
      <c r="K49">
        <f t="shared" si="43"/>
        <v>1</v>
      </c>
      <c r="L49">
        <f t="shared" si="43"/>
        <v>1</v>
      </c>
      <c r="M49">
        <f t="shared" si="43"/>
        <v>1</v>
      </c>
      <c r="N49">
        <f t="shared" si="43"/>
        <v>1</v>
      </c>
      <c r="O49">
        <f t="shared" si="43"/>
        <v>1</v>
      </c>
      <c r="P49">
        <f t="shared" si="43"/>
        <v>1</v>
      </c>
    </row>
    <row r="50" spans="1:16" x14ac:dyDescent="0.25">
      <c r="D50" s="249" t="s">
        <v>761</v>
      </c>
      <c r="E50">
        <f>Site4!E188+Site4!E189</f>
        <v>1</v>
      </c>
      <c r="F50">
        <f>Site4!F188+Site4!F189</f>
        <v>1</v>
      </c>
      <c r="G50">
        <f>Site4!G188+Site4!G189</f>
        <v>1</v>
      </c>
      <c r="H50">
        <f>Site4!H188+Site4!H189</f>
        <v>1</v>
      </c>
      <c r="I50">
        <f>Site4!I188+Site4!I189</f>
        <v>1</v>
      </c>
      <c r="J50">
        <f>Site4!J188+Site4!J189</f>
        <v>1</v>
      </c>
      <c r="K50">
        <f>Site4!K188+Site4!K189</f>
        <v>1</v>
      </c>
      <c r="L50">
        <f>Site4!L188+Site4!L189</f>
        <v>1.5</v>
      </c>
      <c r="M50">
        <f>Site4!M188+Site4!M189</f>
        <v>1.5</v>
      </c>
      <c r="N50">
        <f>Site4!N188+Site4!N189</f>
        <v>1.5</v>
      </c>
      <c r="O50">
        <f>Site4!O188+Site4!O189</f>
        <v>1.5</v>
      </c>
      <c r="P50">
        <f>Site4!P188+Site4!P189</f>
        <v>1.5</v>
      </c>
    </row>
    <row r="51" spans="1:16" x14ac:dyDescent="0.25">
      <c r="B51" s="328" t="s">
        <v>708</v>
      </c>
      <c r="C51" s="30" t="s">
        <v>712</v>
      </c>
      <c r="D51" s="249" t="s">
        <v>49</v>
      </c>
      <c r="E51">
        <f>Site4!E205</f>
        <v>2</v>
      </c>
      <c r="F51">
        <f>Site4!F205</f>
        <v>4</v>
      </c>
      <c r="G51">
        <f>Site4!G205</f>
        <v>4</v>
      </c>
      <c r="H51">
        <f>Site4!H205</f>
        <v>4</v>
      </c>
      <c r="I51">
        <f>Site4!I205</f>
        <v>4</v>
      </c>
      <c r="J51">
        <f>Site4!J205</f>
        <v>4</v>
      </c>
      <c r="K51">
        <f>Site4!K205</f>
        <v>4</v>
      </c>
      <c r="L51">
        <f>Site4!L205</f>
        <v>4.5</v>
      </c>
      <c r="M51">
        <f>Site4!M205</f>
        <v>4.5</v>
      </c>
      <c r="N51">
        <f>Site4!N205</f>
        <v>4.5</v>
      </c>
      <c r="O51">
        <f>Site4!O205</f>
        <v>4.5</v>
      </c>
      <c r="P51">
        <f>Site4!P205</f>
        <v>4.5</v>
      </c>
    </row>
    <row r="52" spans="1:16" x14ac:dyDescent="0.25">
      <c r="C52" s="30" t="s">
        <v>172</v>
      </c>
      <c r="D52" s="99">
        <v>0.02</v>
      </c>
    </row>
    <row r="53" spans="1:16" x14ac:dyDescent="0.25">
      <c r="C53" s="30"/>
      <c r="D53" s="99"/>
    </row>
    <row r="54" spans="1:16" x14ac:dyDescent="0.25">
      <c r="C54" s="30"/>
      <c r="D54" s="61"/>
      <c r="E54" s="3" t="str">
        <f t="shared" ref="E54:P54" si="44">E5</f>
        <v>FY 2018-2019</v>
      </c>
      <c r="F54" s="3" t="str">
        <f t="shared" si="44"/>
        <v>FY 2019-2020</v>
      </c>
      <c r="G54" s="3" t="str">
        <f t="shared" si="44"/>
        <v>FY 2020-2021</v>
      </c>
      <c r="H54" s="3" t="str">
        <f t="shared" si="44"/>
        <v>FY 2021-2022</v>
      </c>
      <c r="I54" s="3" t="str">
        <f t="shared" si="44"/>
        <v>FY 2022-2023</v>
      </c>
      <c r="J54" s="3" t="str">
        <f t="shared" si="44"/>
        <v>FY 2023-2024</v>
      </c>
      <c r="K54" s="3" t="str">
        <f t="shared" si="44"/>
        <v>FY 2024-2025</v>
      </c>
      <c r="L54" s="3" t="str">
        <f t="shared" si="44"/>
        <v>FY 2025-2026</v>
      </c>
      <c r="M54" s="3" t="str">
        <f t="shared" si="44"/>
        <v>FY 2026-2027</v>
      </c>
      <c r="N54" s="3" t="str">
        <f t="shared" si="44"/>
        <v>FY 2027-2028</v>
      </c>
      <c r="O54" s="3" t="str">
        <f t="shared" si="44"/>
        <v>FY 2027-2028</v>
      </c>
      <c r="P54" s="3" t="str">
        <f t="shared" si="44"/>
        <v>FY 2028-2029</v>
      </c>
    </row>
    <row r="55" spans="1:16" x14ac:dyDescent="0.25">
      <c r="A55" s="30" t="s">
        <v>46</v>
      </c>
      <c r="C55" s="226" t="s">
        <v>678</v>
      </c>
      <c r="D55">
        <v>11</v>
      </c>
      <c r="E55" s="187">
        <f>ROUND((E57*0.55),-1)</f>
        <v>40</v>
      </c>
      <c r="F55" s="187">
        <f>ROUND((F57*0.55),-1)</f>
        <v>60</v>
      </c>
      <c r="G55" s="187">
        <f>ROUND((G57*0.55),-1)</f>
        <v>70</v>
      </c>
      <c r="H55" s="187">
        <f>ROUND((H57*0.55),-1)</f>
        <v>70</v>
      </c>
      <c r="I55" s="187">
        <f t="shared" ref="I55:P55" si="45">ROUND((I57*0.55),-1)</f>
        <v>70</v>
      </c>
      <c r="J55" s="187">
        <f t="shared" si="45"/>
        <v>80</v>
      </c>
      <c r="K55" s="187">
        <f t="shared" si="45"/>
        <v>80</v>
      </c>
      <c r="L55" s="187">
        <f t="shared" si="45"/>
        <v>80</v>
      </c>
      <c r="M55" s="187">
        <f t="shared" si="45"/>
        <v>90</v>
      </c>
      <c r="N55" s="187">
        <f t="shared" si="45"/>
        <v>90</v>
      </c>
      <c r="O55" s="187">
        <f t="shared" si="45"/>
        <v>100</v>
      </c>
      <c r="P55" s="187">
        <f t="shared" si="45"/>
        <v>100</v>
      </c>
    </row>
    <row r="56" spans="1:16" x14ac:dyDescent="0.25">
      <c r="D56">
        <v>12</v>
      </c>
      <c r="E56" s="188">
        <f>E57-E55</f>
        <v>35</v>
      </c>
      <c r="F56" s="188">
        <f>F57-F55</f>
        <v>45</v>
      </c>
      <c r="G56" s="188">
        <f t="shared" ref="G56:P56" si="46">G57-G55</f>
        <v>50</v>
      </c>
      <c r="H56" s="188">
        <f t="shared" si="46"/>
        <v>56</v>
      </c>
      <c r="I56" s="188">
        <f t="shared" si="46"/>
        <v>62</v>
      </c>
      <c r="J56" s="188">
        <f t="shared" si="46"/>
        <v>59</v>
      </c>
      <c r="K56" s="188">
        <f t="shared" si="46"/>
        <v>66</v>
      </c>
      <c r="L56" s="188">
        <f t="shared" si="46"/>
        <v>73</v>
      </c>
      <c r="M56" s="188">
        <f t="shared" si="46"/>
        <v>71</v>
      </c>
      <c r="N56" s="188">
        <f t="shared" si="46"/>
        <v>79</v>
      </c>
      <c r="O56" s="188">
        <f t="shared" si="46"/>
        <v>77</v>
      </c>
      <c r="P56" s="188">
        <f t="shared" si="46"/>
        <v>86</v>
      </c>
    </row>
    <row r="57" spans="1:16" x14ac:dyDescent="0.25">
      <c r="E57" s="97">
        <v>75</v>
      </c>
      <c r="F57" s="97">
        <v>105</v>
      </c>
      <c r="G57" s="97">
        <v>120</v>
      </c>
      <c r="H57">
        <f>IF(ROUND(G57*(1+$D$58),0)&gt;=250,250,ROUND(G57*(1+$D$58),0))</f>
        <v>126</v>
      </c>
      <c r="I57">
        <f t="shared" ref="I57:P57" si="47">IF(ROUND(H57*(1+$D$58),0)&gt;=250,250,ROUND(H57*(1+$D$58),0))</f>
        <v>132</v>
      </c>
      <c r="J57">
        <f t="shared" si="47"/>
        <v>139</v>
      </c>
      <c r="K57">
        <f t="shared" si="47"/>
        <v>146</v>
      </c>
      <c r="L57">
        <f t="shared" si="47"/>
        <v>153</v>
      </c>
      <c r="M57">
        <f t="shared" si="47"/>
        <v>161</v>
      </c>
      <c r="N57">
        <f t="shared" si="47"/>
        <v>169</v>
      </c>
      <c r="O57">
        <f t="shared" si="47"/>
        <v>177</v>
      </c>
      <c r="P57">
        <f t="shared" si="47"/>
        <v>186</v>
      </c>
    </row>
    <row r="58" spans="1:16" x14ac:dyDescent="0.25">
      <c r="C58" s="30" t="s">
        <v>637</v>
      </c>
      <c r="D58" s="99">
        <v>0.05</v>
      </c>
    </row>
    <row r="59" spans="1:16" x14ac:dyDescent="0.25">
      <c r="B59" s="328" t="s">
        <v>709</v>
      </c>
      <c r="C59" s="30" t="s">
        <v>710</v>
      </c>
      <c r="D59" s="249" t="s">
        <v>173</v>
      </c>
      <c r="F59">
        <f t="shared" ref="F59" si="48">F57-E57</f>
        <v>30</v>
      </c>
      <c r="G59">
        <f t="shared" ref="G59" si="49">G57-F57</f>
        <v>15</v>
      </c>
      <c r="H59">
        <f t="shared" ref="H59" si="50">H57-G57</f>
        <v>6</v>
      </c>
      <c r="I59">
        <f t="shared" ref="I59" si="51">I57-H57</f>
        <v>6</v>
      </c>
      <c r="J59">
        <f t="shared" ref="J59" si="52">J57-I57</f>
        <v>7</v>
      </c>
      <c r="K59">
        <f t="shared" ref="K59" si="53">K57-J57</f>
        <v>7</v>
      </c>
      <c r="L59">
        <f t="shared" ref="L59" si="54">L57-K57</f>
        <v>7</v>
      </c>
      <c r="M59">
        <f t="shared" ref="M59" si="55">M57-L57</f>
        <v>8</v>
      </c>
      <c r="N59">
        <f t="shared" ref="N59" si="56">N57-M57</f>
        <v>8</v>
      </c>
      <c r="O59">
        <f t="shared" ref="O59" si="57">O57-N57</f>
        <v>8</v>
      </c>
      <c r="P59">
        <f t="shared" ref="P59" si="58">P57-O57</f>
        <v>9</v>
      </c>
    </row>
    <row r="60" spans="1:16" x14ac:dyDescent="0.25">
      <c r="D60" s="249" t="s">
        <v>48</v>
      </c>
      <c r="E60">
        <f>COUNTA(E57)</f>
        <v>1</v>
      </c>
      <c r="F60">
        <f>COUNTA(F57)</f>
        <v>1</v>
      </c>
      <c r="G60">
        <f t="shared" ref="G60:P60" si="59">COUNTA(G57)</f>
        <v>1</v>
      </c>
      <c r="H60">
        <f t="shared" si="59"/>
        <v>1</v>
      </c>
      <c r="I60">
        <f t="shared" si="59"/>
        <v>1</v>
      </c>
      <c r="J60">
        <f t="shared" si="59"/>
        <v>1</v>
      </c>
      <c r="K60">
        <f t="shared" si="59"/>
        <v>1</v>
      </c>
      <c r="L60">
        <f t="shared" si="59"/>
        <v>1</v>
      </c>
      <c r="M60">
        <f t="shared" si="59"/>
        <v>1</v>
      </c>
      <c r="N60">
        <f t="shared" si="59"/>
        <v>1</v>
      </c>
      <c r="O60">
        <f t="shared" si="59"/>
        <v>1</v>
      </c>
      <c r="P60">
        <f t="shared" si="59"/>
        <v>1</v>
      </c>
    </row>
    <row r="61" spans="1:16" x14ac:dyDescent="0.25">
      <c r="D61" s="249" t="s">
        <v>761</v>
      </c>
      <c r="E61">
        <f>Site5!E188+Site5!E189</f>
        <v>1</v>
      </c>
      <c r="F61">
        <f>Site5!F188+Site5!F189</f>
        <v>1</v>
      </c>
      <c r="G61">
        <f>Site5!G188+Site5!G189</f>
        <v>1.5</v>
      </c>
      <c r="H61">
        <f>Site5!H188+Site5!H189</f>
        <v>1.5</v>
      </c>
      <c r="I61">
        <f>Site5!I188+Site5!I189</f>
        <v>1.5</v>
      </c>
      <c r="J61">
        <f>Site5!J188+Site5!J189</f>
        <v>1.5</v>
      </c>
      <c r="K61">
        <f>Site5!K188+Site5!K189</f>
        <v>1.5</v>
      </c>
      <c r="L61">
        <f>Site5!L188+Site5!L189</f>
        <v>1.5</v>
      </c>
      <c r="M61">
        <f>Site5!M188+Site5!M189</f>
        <v>1.5</v>
      </c>
      <c r="N61">
        <f>Site5!N188+Site5!N189</f>
        <v>2</v>
      </c>
      <c r="O61">
        <f>Site5!O188+Site5!O189</f>
        <v>2</v>
      </c>
      <c r="P61">
        <f>Site5!P188+Site5!P189</f>
        <v>2</v>
      </c>
    </row>
    <row r="62" spans="1:16" x14ac:dyDescent="0.25">
      <c r="B62" s="328" t="s">
        <v>708</v>
      </c>
      <c r="C62" s="30" t="s">
        <v>712</v>
      </c>
      <c r="D62" s="249" t="s">
        <v>49</v>
      </c>
      <c r="E62">
        <f>Site5!E205</f>
        <v>3</v>
      </c>
      <c r="F62">
        <f>Site5!F205</f>
        <v>4</v>
      </c>
      <c r="G62">
        <f>Site5!G205</f>
        <v>4.5</v>
      </c>
      <c r="H62">
        <f>Site5!H205</f>
        <v>4.5</v>
      </c>
      <c r="I62">
        <f>Site5!I205</f>
        <v>4.5</v>
      </c>
      <c r="J62">
        <f>Site5!J205</f>
        <v>4.5</v>
      </c>
      <c r="K62">
        <f>Site5!K205</f>
        <v>4.5</v>
      </c>
      <c r="L62">
        <f>Site5!L205</f>
        <v>4.5</v>
      </c>
      <c r="M62">
        <f>Site5!M205</f>
        <v>4.5</v>
      </c>
      <c r="N62">
        <f>Site5!N205</f>
        <v>5</v>
      </c>
      <c r="O62">
        <f>Site5!O205</f>
        <v>5</v>
      </c>
      <c r="P62">
        <f>Site5!P205</f>
        <v>5</v>
      </c>
    </row>
    <row r="63" spans="1:16" x14ac:dyDescent="0.25">
      <c r="C63" s="30" t="s">
        <v>172</v>
      </c>
      <c r="D63" s="99">
        <v>0.02</v>
      </c>
    </row>
    <row r="64" spans="1:16" x14ac:dyDescent="0.25">
      <c r="C64" s="30"/>
      <c r="D64" s="99"/>
    </row>
    <row r="65" spans="1:16" x14ac:dyDescent="0.25">
      <c r="C65" s="30"/>
      <c r="D65" s="61"/>
      <c r="E65" s="3" t="str">
        <f>E5</f>
        <v>FY 2018-2019</v>
      </c>
      <c r="F65" s="3" t="str">
        <f t="shared" ref="F65:P65" si="60">F5</f>
        <v>FY 2019-2020</v>
      </c>
      <c r="G65" s="3" t="str">
        <f t="shared" si="60"/>
        <v>FY 2020-2021</v>
      </c>
      <c r="H65" s="3" t="str">
        <f t="shared" si="60"/>
        <v>FY 2021-2022</v>
      </c>
      <c r="I65" s="3" t="str">
        <f t="shared" si="60"/>
        <v>FY 2022-2023</v>
      </c>
      <c r="J65" s="3" t="str">
        <f t="shared" si="60"/>
        <v>FY 2023-2024</v>
      </c>
      <c r="K65" s="3" t="str">
        <f t="shared" si="60"/>
        <v>FY 2024-2025</v>
      </c>
      <c r="L65" s="3" t="str">
        <f t="shared" si="60"/>
        <v>FY 2025-2026</v>
      </c>
      <c r="M65" s="3" t="str">
        <f t="shared" si="60"/>
        <v>FY 2026-2027</v>
      </c>
      <c r="N65" s="3" t="str">
        <f t="shared" si="60"/>
        <v>FY 2027-2028</v>
      </c>
      <c r="O65" s="3" t="str">
        <f t="shared" si="60"/>
        <v>FY 2027-2028</v>
      </c>
      <c r="P65" s="3" t="str">
        <f t="shared" si="60"/>
        <v>FY 2028-2029</v>
      </c>
    </row>
    <row r="66" spans="1:16" x14ac:dyDescent="0.25">
      <c r="A66" s="30" t="s">
        <v>46</v>
      </c>
      <c r="C66" s="319" t="s">
        <v>673</v>
      </c>
      <c r="D66">
        <v>11</v>
      </c>
      <c r="E66" s="247">
        <v>0</v>
      </c>
      <c r="F66" s="247">
        <v>0</v>
      </c>
      <c r="G66" s="187">
        <f>ROUND((G68*0.55),-1)</f>
        <v>50</v>
      </c>
      <c r="H66" s="187">
        <f>ROUND((H68*0.55),-1)</f>
        <v>70</v>
      </c>
      <c r="I66" s="187">
        <f t="shared" ref="I66:P66" si="61">ROUND((I68*0.55),-1)</f>
        <v>80</v>
      </c>
      <c r="J66" s="187">
        <f t="shared" si="61"/>
        <v>90</v>
      </c>
      <c r="K66" s="187">
        <f t="shared" si="61"/>
        <v>90</v>
      </c>
      <c r="L66" s="187">
        <f t="shared" si="61"/>
        <v>100</v>
      </c>
      <c r="M66" s="187">
        <f t="shared" si="61"/>
        <v>100</v>
      </c>
      <c r="N66" s="187">
        <f t="shared" si="61"/>
        <v>110</v>
      </c>
      <c r="O66" s="187">
        <f t="shared" si="61"/>
        <v>110</v>
      </c>
      <c r="P66" s="187">
        <f t="shared" si="61"/>
        <v>120</v>
      </c>
    </row>
    <row r="67" spans="1:16" x14ac:dyDescent="0.25">
      <c r="D67">
        <v>12</v>
      </c>
      <c r="E67" s="248">
        <v>0</v>
      </c>
      <c r="F67" s="248">
        <v>0</v>
      </c>
      <c r="G67" s="188">
        <f>G68-G66</f>
        <v>40</v>
      </c>
      <c r="H67" s="188">
        <f>H68-H66</f>
        <v>60</v>
      </c>
      <c r="I67" s="188">
        <f t="shared" ref="I67:P67" si="62">I68-I66</f>
        <v>70</v>
      </c>
      <c r="J67" s="188">
        <f t="shared" si="62"/>
        <v>68</v>
      </c>
      <c r="K67" s="188">
        <f t="shared" si="62"/>
        <v>76</v>
      </c>
      <c r="L67" s="188">
        <f t="shared" si="62"/>
        <v>74</v>
      </c>
      <c r="M67" s="188">
        <f t="shared" si="62"/>
        <v>83</v>
      </c>
      <c r="N67" s="188">
        <f t="shared" si="62"/>
        <v>82</v>
      </c>
      <c r="O67" s="188">
        <f t="shared" si="62"/>
        <v>92</v>
      </c>
      <c r="P67" s="188">
        <f t="shared" si="62"/>
        <v>92</v>
      </c>
    </row>
    <row r="68" spans="1:16" x14ac:dyDescent="0.25">
      <c r="G68" s="97">
        <v>90</v>
      </c>
      <c r="H68" s="97">
        <v>130</v>
      </c>
      <c r="I68" s="97">
        <v>150</v>
      </c>
      <c r="J68">
        <f>IF(ROUND(I68*(1+$D$69),0)&gt;=250,250,ROUND(I68*(1+$D$69),0))</f>
        <v>158</v>
      </c>
      <c r="K68">
        <f t="shared" ref="K68:P68" si="63">IF(ROUND(J68*(1+$D$69),0)&gt;=250,250,ROUND(J68*(1+$D$69),0))</f>
        <v>166</v>
      </c>
      <c r="L68">
        <f t="shared" si="63"/>
        <v>174</v>
      </c>
      <c r="M68">
        <f t="shared" si="63"/>
        <v>183</v>
      </c>
      <c r="N68">
        <f t="shared" si="63"/>
        <v>192</v>
      </c>
      <c r="O68">
        <f t="shared" si="63"/>
        <v>202</v>
      </c>
      <c r="P68">
        <f t="shared" si="63"/>
        <v>212</v>
      </c>
    </row>
    <row r="69" spans="1:16" x14ac:dyDescent="0.25">
      <c r="C69" s="30" t="s">
        <v>637</v>
      </c>
      <c r="D69" s="99">
        <v>0.05</v>
      </c>
    </row>
    <row r="70" spans="1:16" x14ac:dyDescent="0.25">
      <c r="B70" s="327" t="s">
        <v>708</v>
      </c>
      <c r="C70" s="30" t="s">
        <v>710</v>
      </c>
      <c r="D70" s="249" t="s">
        <v>173</v>
      </c>
      <c r="H70">
        <f t="shared" ref="H70" si="64">H68-G68</f>
        <v>40</v>
      </c>
      <c r="I70">
        <f t="shared" ref="I70" si="65">I68-H68</f>
        <v>20</v>
      </c>
      <c r="J70">
        <f t="shared" ref="J70" si="66">J68-I68</f>
        <v>8</v>
      </c>
      <c r="K70">
        <f t="shared" ref="K70" si="67">K68-J68</f>
        <v>8</v>
      </c>
      <c r="L70">
        <f t="shared" ref="L70" si="68">L68-K68</f>
        <v>8</v>
      </c>
      <c r="M70">
        <f t="shared" ref="M70" si="69">M68-L68</f>
        <v>9</v>
      </c>
      <c r="N70">
        <f t="shared" ref="N70" si="70">N68-M68</f>
        <v>9</v>
      </c>
      <c r="O70">
        <f t="shared" ref="O70" si="71">O68-N68</f>
        <v>10</v>
      </c>
      <c r="P70">
        <f t="shared" ref="P70" si="72">P68-O68</f>
        <v>10</v>
      </c>
    </row>
    <row r="71" spans="1:16" x14ac:dyDescent="0.25">
      <c r="D71" s="249" t="s">
        <v>48</v>
      </c>
      <c r="G71">
        <f t="shared" ref="G71" si="73">COUNTA(G68)</f>
        <v>1</v>
      </c>
      <c r="H71">
        <f t="shared" ref="H71:P71" si="74">COUNTA(H68)</f>
        <v>1</v>
      </c>
      <c r="I71">
        <f t="shared" si="74"/>
        <v>1</v>
      </c>
      <c r="J71">
        <f t="shared" si="74"/>
        <v>1</v>
      </c>
      <c r="K71">
        <f t="shared" si="74"/>
        <v>1</v>
      </c>
      <c r="L71">
        <f t="shared" si="74"/>
        <v>1</v>
      </c>
      <c r="M71">
        <f t="shared" si="74"/>
        <v>1</v>
      </c>
      <c r="N71">
        <f t="shared" si="74"/>
        <v>1</v>
      </c>
      <c r="O71">
        <f t="shared" si="74"/>
        <v>1</v>
      </c>
      <c r="P71">
        <f t="shared" si="74"/>
        <v>1</v>
      </c>
    </row>
    <row r="72" spans="1:16" x14ac:dyDescent="0.25">
      <c r="D72" s="249" t="s">
        <v>761</v>
      </c>
      <c r="G72">
        <f>Site6!G188+Site6!G189</f>
        <v>1</v>
      </c>
      <c r="H72">
        <f>Site6!H188+Site6!H189</f>
        <v>1</v>
      </c>
      <c r="I72">
        <f>Site6!I188+Site6!I189</f>
        <v>1</v>
      </c>
      <c r="J72">
        <f>Site6!J188+Site6!J189</f>
        <v>1</v>
      </c>
      <c r="K72">
        <f>Site6!K188+Site6!K189</f>
        <v>1</v>
      </c>
      <c r="L72">
        <f>Site6!L188+Site6!L189</f>
        <v>1</v>
      </c>
      <c r="M72">
        <f>Site6!M188+Site6!M189</f>
        <v>1</v>
      </c>
      <c r="N72">
        <f>Site6!N188+Site6!N189</f>
        <v>1</v>
      </c>
      <c r="O72">
        <f>Site6!O188+Site6!O189</f>
        <v>1</v>
      </c>
      <c r="P72">
        <f>Site6!P188+Site6!P189</f>
        <v>1</v>
      </c>
    </row>
    <row r="73" spans="1:16" x14ac:dyDescent="0.25">
      <c r="B73" s="328" t="s">
        <v>708</v>
      </c>
      <c r="C73" s="30" t="s">
        <v>712</v>
      </c>
      <c r="D73" s="249" t="s">
        <v>49</v>
      </c>
      <c r="G73">
        <f>Site6!G205</f>
        <v>2</v>
      </c>
      <c r="H73">
        <f>Site6!H205</f>
        <v>4</v>
      </c>
      <c r="I73">
        <f>Site6!I205</f>
        <v>4</v>
      </c>
      <c r="J73">
        <f>Site6!J205</f>
        <v>4</v>
      </c>
      <c r="K73">
        <f>Site6!K205</f>
        <v>4</v>
      </c>
      <c r="L73">
        <f>Site6!L205</f>
        <v>4</v>
      </c>
      <c r="M73">
        <f>Site6!M205</f>
        <v>4</v>
      </c>
      <c r="N73">
        <f>Site6!N205</f>
        <v>4</v>
      </c>
      <c r="O73">
        <f>Site6!O205</f>
        <v>4</v>
      </c>
      <c r="P73">
        <f>Site6!P205</f>
        <v>4</v>
      </c>
    </row>
    <row r="74" spans="1:16" x14ac:dyDescent="0.25">
      <c r="C74" s="30" t="s">
        <v>172</v>
      </c>
      <c r="D74" s="99">
        <v>0.02</v>
      </c>
    </row>
  </sheetData>
  <printOptions horizontalCentered="1"/>
  <pageMargins left="0.7" right="0.7" top="0.75" bottom="0.75" header="0.3" footer="0.3"/>
  <pageSetup paperSize="17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G24" sqref="G24"/>
    </sheetView>
  </sheetViews>
  <sheetFormatPr defaultColWidth="8.85546875" defaultRowHeight="15" x14ac:dyDescent="0.25"/>
  <cols>
    <col min="2" max="2" width="59.85546875" customWidth="1"/>
    <col min="3" max="3" width="3.28515625" customWidth="1"/>
    <col min="4" max="4" width="12.28515625" bestFit="1" customWidth="1"/>
    <col min="5" max="6" width="13.85546875" bestFit="1" customWidth="1"/>
    <col min="7" max="16" width="12.28515625" bestFit="1" customWidth="1"/>
  </cols>
  <sheetData>
    <row r="1" spans="1:16" x14ac:dyDescent="0.25">
      <c r="A1" s="30" t="s">
        <v>354</v>
      </c>
    </row>
    <row r="2" spans="1:16" x14ac:dyDescent="0.25">
      <c r="A2" s="30" t="str">
        <f ca="1">RIGHT(CELL("filename",A1),LEN(CELL("filename",A1))-FIND("]",CELL("filename",A1)))</f>
        <v>Revenue</v>
      </c>
    </row>
    <row r="3" spans="1:16" x14ac:dyDescent="0.25">
      <c r="A3" s="97" t="s">
        <v>359</v>
      </c>
    </row>
    <row r="4" spans="1:16" x14ac:dyDescent="0.2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x14ac:dyDescent="0.25">
      <c r="D5" s="4" t="s">
        <v>61</v>
      </c>
      <c r="E5" s="4" t="s">
        <v>62</v>
      </c>
      <c r="F5" s="4" t="s">
        <v>63</v>
      </c>
      <c r="G5" s="4" t="s">
        <v>64</v>
      </c>
      <c r="H5" s="4" t="s">
        <v>65</v>
      </c>
      <c r="I5" s="4" t="s">
        <v>66</v>
      </c>
      <c r="J5" s="4" t="s">
        <v>204</v>
      </c>
      <c r="K5" s="4" t="s">
        <v>352</v>
      </c>
      <c r="L5" s="4" t="s">
        <v>353</v>
      </c>
      <c r="M5" s="4" t="s">
        <v>368</v>
      </c>
      <c r="N5" s="4" t="s">
        <v>368</v>
      </c>
      <c r="O5" s="4" t="s">
        <v>657</v>
      </c>
      <c r="P5" s="70" t="s">
        <v>657</v>
      </c>
    </row>
    <row r="6" spans="1:16" x14ac:dyDescent="0.25">
      <c r="B6" s="148" t="s">
        <v>537</v>
      </c>
      <c r="D6" s="53" t="s">
        <v>294</v>
      </c>
      <c r="E6" s="150">
        <v>7.4999999999999997E-3</v>
      </c>
      <c r="F6" s="150">
        <f>E6</f>
        <v>7.4999999999999997E-3</v>
      </c>
      <c r="G6" s="150">
        <f t="shared" ref="G6:P6" si="0">F6</f>
        <v>7.4999999999999997E-3</v>
      </c>
      <c r="H6" s="150">
        <f t="shared" si="0"/>
        <v>7.4999999999999997E-3</v>
      </c>
      <c r="I6" s="150">
        <f t="shared" si="0"/>
        <v>7.4999999999999997E-3</v>
      </c>
      <c r="J6" s="150">
        <f t="shared" si="0"/>
        <v>7.4999999999999997E-3</v>
      </c>
      <c r="K6" s="150">
        <f t="shared" si="0"/>
        <v>7.4999999999999997E-3</v>
      </c>
      <c r="L6" s="150">
        <f t="shared" si="0"/>
        <v>7.4999999999999997E-3</v>
      </c>
      <c r="M6" s="150">
        <f t="shared" si="0"/>
        <v>7.4999999999999997E-3</v>
      </c>
      <c r="N6" s="150">
        <f t="shared" si="0"/>
        <v>7.4999999999999997E-3</v>
      </c>
      <c r="O6" s="150">
        <f t="shared" si="0"/>
        <v>7.4999999999999997E-3</v>
      </c>
      <c r="P6" s="150">
        <f t="shared" si="0"/>
        <v>7.4999999999999997E-3</v>
      </c>
    </row>
    <row r="7" spans="1:16" x14ac:dyDescent="0.25">
      <c r="A7" t="s">
        <v>362</v>
      </c>
    </row>
    <row r="8" spans="1:16" x14ac:dyDescent="0.25">
      <c r="B8" t="s">
        <v>556</v>
      </c>
      <c r="D8" s="189">
        <v>6700</v>
      </c>
      <c r="E8" s="190">
        <f>D8*(1+E$6)</f>
        <v>6750.25</v>
      </c>
      <c r="F8" s="190">
        <f t="shared" ref="F8:P8" si="1">E8*(1+F$6)</f>
        <v>6800.8768750000008</v>
      </c>
      <c r="G8" s="190">
        <f t="shared" si="1"/>
        <v>6851.8834515625013</v>
      </c>
      <c r="H8" s="190">
        <f t="shared" si="1"/>
        <v>6903.2725774492201</v>
      </c>
      <c r="I8" s="190">
        <f t="shared" si="1"/>
        <v>6955.0471217800896</v>
      </c>
      <c r="J8" s="190">
        <f t="shared" si="1"/>
        <v>7007.2099751934411</v>
      </c>
      <c r="K8" s="190">
        <f t="shared" si="1"/>
        <v>7059.7640500073921</v>
      </c>
      <c r="L8" s="190">
        <f t="shared" si="1"/>
        <v>7112.7122803824477</v>
      </c>
      <c r="M8" s="190">
        <f t="shared" si="1"/>
        <v>7166.0576224853166</v>
      </c>
      <c r="N8" s="190">
        <f t="shared" si="1"/>
        <v>7219.8030546539567</v>
      </c>
      <c r="O8" s="190">
        <f t="shared" si="1"/>
        <v>7273.951577563862</v>
      </c>
      <c r="P8" s="190">
        <f t="shared" si="1"/>
        <v>7328.5062143955911</v>
      </c>
    </row>
    <row r="9" spans="1:16" x14ac:dyDescent="0.25">
      <c r="B9" t="s">
        <v>557</v>
      </c>
      <c r="D9" s="189">
        <v>6900</v>
      </c>
      <c r="E9" s="190">
        <f>D9*(1+E$6)</f>
        <v>6951.75</v>
      </c>
      <c r="F9" s="190">
        <f t="shared" ref="F9:P9" si="2">E9*(1+F$6)</f>
        <v>7003.8881250000004</v>
      </c>
      <c r="G9" s="190">
        <f t="shared" si="2"/>
        <v>7056.4172859375012</v>
      </c>
      <c r="H9" s="190">
        <f t="shared" si="2"/>
        <v>7109.3404155820326</v>
      </c>
      <c r="I9" s="190">
        <f t="shared" si="2"/>
        <v>7162.6604686988985</v>
      </c>
      <c r="J9" s="190">
        <f t="shared" si="2"/>
        <v>7216.3804222141407</v>
      </c>
      <c r="K9" s="190">
        <f t="shared" si="2"/>
        <v>7270.5032753807473</v>
      </c>
      <c r="L9" s="190">
        <f t="shared" si="2"/>
        <v>7325.0320499461031</v>
      </c>
      <c r="M9" s="190">
        <f t="shared" si="2"/>
        <v>7379.9697903206998</v>
      </c>
      <c r="N9" s="190">
        <f t="shared" si="2"/>
        <v>7435.3195637481058</v>
      </c>
      <c r="O9" s="190">
        <f t="shared" si="2"/>
        <v>7491.0844604762169</v>
      </c>
      <c r="P9" s="190">
        <f t="shared" si="2"/>
        <v>7547.2675939297887</v>
      </c>
    </row>
    <row r="11" spans="1:16" x14ac:dyDescent="0.25">
      <c r="A11" t="s">
        <v>149</v>
      </c>
    </row>
    <row r="12" spans="1:16" x14ac:dyDescent="0.25">
      <c r="B12" t="s">
        <v>370</v>
      </c>
      <c r="D12" s="189">
        <v>15</v>
      </c>
      <c r="E12" s="189">
        <v>18</v>
      </c>
      <c r="F12" s="190">
        <f t="shared" ref="F12:I15" si="3">E12</f>
        <v>18</v>
      </c>
      <c r="G12" s="190">
        <f t="shared" si="3"/>
        <v>18</v>
      </c>
      <c r="H12" s="190">
        <f t="shared" si="3"/>
        <v>18</v>
      </c>
      <c r="I12" s="190">
        <f t="shared" si="3"/>
        <v>18</v>
      </c>
      <c r="J12" s="190">
        <f t="shared" ref="J12:P15" si="4">I12</f>
        <v>18</v>
      </c>
      <c r="K12" s="190">
        <f t="shared" si="4"/>
        <v>18</v>
      </c>
      <c r="L12" s="190">
        <f t="shared" si="4"/>
        <v>18</v>
      </c>
      <c r="M12" s="190">
        <f t="shared" si="4"/>
        <v>18</v>
      </c>
      <c r="N12" s="190">
        <f t="shared" si="4"/>
        <v>18</v>
      </c>
      <c r="O12" s="190">
        <f t="shared" si="4"/>
        <v>18</v>
      </c>
      <c r="P12" s="190">
        <f t="shared" si="4"/>
        <v>18</v>
      </c>
    </row>
    <row r="13" spans="1:16" x14ac:dyDescent="0.25">
      <c r="B13" t="s">
        <v>363</v>
      </c>
      <c r="D13" s="189">
        <v>0</v>
      </c>
      <c r="E13" s="189">
        <v>0</v>
      </c>
      <c r="F13" s="190">
        <f t="shared" si="3"/>
        <v>0</v>
      </c>
      <c r="G13" s="190">
        <f t="shared" si="3"/>
        <v>0</v>
      </c>
      <c r="H13" s="190">
        <f t="shared" si="3"/>
        <v>0</v>
      </c>
      <c r="I13" s="190">
        <f t="shared" si="3"/>
        <v>0</v>
      </c>
      <c r="J13" s="190">
        <f t="shared" si="4"/>
        <v>0</v>
      </c>
      <c r="K13" s="190">
        <f t="shared" si="4"/>
        <v>0</v>
      </c>
      <c r="L13" s="190">
        <f t="shared" si="4"/>
        <v>0</v>
      </c>
      <c r="M13" s="190">
        <f t="shared" si="4"/>
        <v>0</v>
      </c>
      <c r="N13" s="190">
        <f t="shared" si="4"/>
        <v>0</v>
      </c>
      <c r="O13" s="190">
        <f t="shared" si="4"/>
        <v>0</v>
      </c>
      <c r="P13" s="190">
        <f t="shared" si="4"/>
        <v>0</v>
      </c>
    </row>
    <row r="14" spans="1:16" x14ac:dyDescent="0.25">
      <c r="B14" t="s">
        <v>364</v>
      </c>
      <c r="D14" s="189">
        <v>0</v>
      </c>
      <c r="E14" s="189">
        <v>0</v>
      </c>
      <c r="F14" s="190">
        <f t="shared" si="3"/>
        <v>0</v>
      </c>
      <c r="G14" s="190">
        <f t="shared" si="3"/>
        <v>0</v>
      </c>
      <c r="H14" s="190">
        <f t="shared" si="3"/>
        <v>0</v>
      </c>
      <c r="I14" s="190">
        <f t="shared" si="3"/>
        <v>0</v>
      </c>
      <c r="J14" s="190">
        <f t="shared" si="4"/>
        <v>0</v>
      </c>
      <c r="K14" s="190">
        <f t="shared" si="4"/>
        <v>0</v>
      </c>
      <c r="L14" s="190">
        <f t="shared" si="4"/>
        <v>0</v>
      </c>
      <c r="M14" s="190">
        <f t="shared" si="4"/>
        <v>0</v>
      </c>
      <c r="N14" s="190">
        <f t="shared" si="4"/>
        <v>0</v>
      </c>
      <c r="O14" s="190">
        <f t="shared" si="4"/>
        <v>0</v>
      </c>
      <c r="P14" s="190">
        <f t="shared" si="4"/>
        <v>0</v>
      </c>
    </row>
    <row r="15" spans="1:16" x14ac:dyDescent="0.25">
      <c r="B15" t="s">
        <v>365</v>
      </c>
      <c r="D15" s="189">
        <v>0</v>
      </c>
      <c r="E15" s="189">
        <v>0</v>
      </c>
      <c r="F15" s="190">
        <f t="shared" si="3"/>
        <v>0</v>
      </c>
      <c r="G15" s="190">
        <f t="shared" si="3"/>
        <v>0</v>
      </c>
      <c r="H15" s="190">
        <f t="shared" si="3"/>
        <v>0</v>
      </c>
      <c r="I15" s="190">
        <f t="shared" si="3"/>
        <v>0</v>
      </c>
      <c r="J15" s="190">
        <f t="shared" si="4"/>
        <v>0</v>
      </c>
      <c r="K15" s="190">
        <f t="shared" si="4"/>
        <v>0</v>
      </c>
      <c r="L15" s="190">
        <f t="shared" si="4"/>
        <v>0</v>
      </c>
      <c r="M15" s="190">
        <f t="shared" si="4"/>
        <v>0</v>
      </c>
      <c r="N15" s="190">
        <f t="shared" si="4"/>
        <v>0</v>
      </c>
      <c r="O15" s="190">
        <f t="shared" si="4"/>
        <v>0</v>
      </c>
      <c r="P15" s="190">
        <f t="shared" si="4"/>
        <v>0</v>
      </c>
    </row>
    <row r="16" spans="1:16" x14ac:dyDescent="0.25">
      <c r="A16" t="s">
        <v>150</v>
      </c>
    </row>
    <row r="17" spans="1:16" x14ac:dyDescent="0.25">
      <c r="B17" t="s">
        <v>676</v>
      </c>
      <c r="D17" s="189">
        <v>15</v>
      </c>
      <c r="E17" s="189">
        <v>18</v>
      </c>
      <c r="F17" s="190">
        <f t="shared" ref="F17:P17" si="5">E17</f>
        <v>18</v>
      </c>
      <c r="G17" s="190">
        <f t="shared" si="5"/>
        <v>18</v>
      </c>
      <c r="H17" s="190">
        <f t="shared" si="5"/>
        <v>18</v>
      </c>
      <c r="I17" s="190">
        <f t="shared" si="5"/>
        <v>18</v>
      </c>
      <c r="J17" s="190">
        <f t="shared" si="5"/>
        <v>18</v>
      </c>
      <c r="K17" s="190">
        <f t="shared" si="5"/>
        <v>18</v>
      </c>
      <c r="L17" s="190">
        <f t="shared" si="5"/>
        <v>18</v>
      </c>
      <c r="M17" s="190">
        <f t="shared" si="5"/>
        <v>18</v>
      </c>
      <c r="N17" s="190">
        <f t="shared" si="5"/>
        <v>18</v>
      </c>
      <c r="O17" s="190">
        <f t="shared" si="5"/>
        <v>18</v>
      </c>
      <c r="P17" s="190">
        <f t="shared" si="5"/>
        <v>18</v>
      </c>
    </row>
    <row r="18" spans="1:16" x14ac:dyDescent="0.25">
      <c r="B18" t="s">
        <v>151</v>
      </c>
      <c r="D18" s="189">
        <v>0</v>
      </c>
      <c r="E18" s="189">
        <v>0</v>
      </c>
      <c r="F18" s="190">
        <f t="shared" ref="F18:P18" si="6">E18</f>
        <v>0</v>
      </c>
      <c r="G18" s="190">
        <f t="shared" si="6"/>
        <v>0</v>
      </c>
      <c r="H18" s="190">
        <f t="shared" si="6"/>
        <v>0</v>
      </c>
      <c r="I18" s="190">
        <f t="shared" si="6"/>
        <v>0</v>
      </c>
      <c r="J18" s="190">
        <f t="shared" si="6"/>
        <v>0</v>
      </c>
      <c r="K18" s="190">
        <f t="shared" si="6"/>
        <v>0</v>
      </c>
      <c r="L18" s="190">
        <f t="shared" si="6"/>
        <v>0</v>
      </c>
      <c r="M18" s="190">
        <f t="shared" si="6"/>
        <v>0</v>
      </c>
      <c r="N18" s="190">
        <f t="shared" si="6"/>
        <v>0</v>
      </c>
      <c r="O18" s="190">
        <f t="shared" si="6"/>
        <v>0</v>
      </c>
      <c r="P18" s="190">
        <f t="shared" si="6"/>
        <v>0</v>
      </c>
    </row>
    <row r="19" spans="1:16" x14ac:dyDescent="0.25">
      <c r="B19" t="s">
        <v>675</v>
      </c>
      <c r="D19" s="189">
        <v>55</v>
      </c>
      <c r="E19" s="189">
        <v>40</v>
      </c>
      <c r="F19" s="190">
        <f t="shared" ref="F19:P19" si="7">E19</f>
        <v>40</v>
      </c>
      <c r="G19" s="190">
        <f t="shared" si="7"/>
        <v>40</v>
      </c>
      <c r="H19" s="190">
        <f t="shared" si="7"/>
        <v>40</v>
      </c>
      <c r="I19" s="190">
        <f t="shared" si="7"/>
        <v>40</v>
      </c>
      <c r="J19" s="190">
        <f t="shared" si="7"/>
        <v>40</v>
      </c>
      <c r="K19" s="190">
        <f t="shared" si="7"/>
        <v>40</v>
      </c>
      <c r="L19" s="190">
        <f t="shared" si="7"/>
        <v>40</v>
      </c>
      <c r="M19" s="190">
        <f t="shared" si="7"/>
        <v>40</v>
      </c>
      <c r="N19" s="190">
        <f t="shared" si="7"/>
        <v>40</v>
      </c>
      <c r="O19" s="190">
        <f t="shared" si="7"/>
        <v>40</v>
      </c>
      <c r="P19" s="190">
        <f t="shared" si="7"/>
        <v>40</v>
      </c>
    </row>
    <row r="20" spans="1:16" x14ac:dyDescent="0.25">
      <c r="B20" t="s">
        <v>153</v>
      </c>
      <c r="D20" s="189">
        <v>0</v>
      </c>
      <c r="E20" s="189">
        <v>0</v>
      </c>
      <c r="F20" s="190">
        <f t="shared" ref="F20:P20" si="8">E20</f>
        <v>0</v>
      </c>
      <c r="G20" s="190">
        <f t="shared" si="8"/>
        <v>0</v>
      </c>
      <c r="H20" s="190">
        <f t="shared" si="8"/>
        <v>0</v>
      </c>
      <c r="I20" s="190">
        <f t="shared" si="8"/>
        <v>0</v>
      </c>
      <c r="J20" s="190">
        <f t="shared" si="8"/>
        <v>0</v>
      </c>
      <c r="K20" s="190">
        <f t="shared" si="8"/>
        <v>0</v>
      </c>
      <c r="L20" s="190">
        <f t="shared" si="8"/>
        <v>0</v>
      </c>
      <c r="M20" s="190">
        <f t="shared" si="8"/>
        <v>0</v>
      </c>
      <c r="N20" s="190">
        <f t="shared" si="8"/>
        <v>0</v>
      </c>
      <c r="O20" s="190">
        <f t="shared" si="8"/>
        <v>0</v>
      </c>
      <c r="P20" s="190">
        <f t="shared" si="8"/>
        <v>0</v>
      </c>
    </row>
    <row r="22" spans="1:16" x14ac:dyDescent="0.25">
      <c r="A22" t="s">
        <v>154</v>
      </c>
    </row>
    <row r="23" spans="1:16" x14ac:dyDescent="0.25">
      <c r="B23" s="6" t="s">
        <v>271</v>
      </c>
      <c r="D23" s="189">
        <v>260000</v>
      </c>
      <c r="E23" s="60">
        <v>0</v>
      </c>
      <c r="F23" s="31">
        <f t="shared" ref="F23:P23" si="9">E23</f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9"/>
        <v>0</v>
      </c>
      <c r="O23" s="31">
        <f t="shared" si="9"/>
        <v>0</v>
      </c>
      <c r="P23" s="31">
        <f t="shared" si="9"/>
        <v>0</v>
      </c>
    </row>
    <row r="24" spans="1:16" x14ac:dyDescent="0.25">
      <c r="B24" t="s">
        <v>364</v>
      </c>
      <c r="D24" s="60">
        <v>0</v>
      </c>
      <c r="E24" s="60">
        <v>0</v>
      </c>
      <c r="F24" s="31">
        <f t="shared" ref="F24:P24" si="10">E24</f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10"/>
        <v>0</v>
      </c>
      <c r="O24" s="31">
        <f t="shared" si="10"/>
        <v>0</v>
      </c>
      <c r="P24" s="31">
        <f t="shared" si="10"/>
        <v>0</v>
      </c>
    </row>
    <row r="25" spans="1:16" x14ac:dyDescent="0.25">
      <c r="B25" t="s">
        <v>365</v>
      </c>
      <c r="D25" s="60">
        <v>0</v>
      </c>
      <c r="E25" s="60">
        <v>0</v>
      </c>
      <c r="F25" s="31">
        <f t="shared" ref="F25:P25" si="11">E25</f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31">
        <f t="shared" si="11"/>
        <v>0</v>
      </c>
      <c r="L25" s="31">
        <f t="shared" si="11"/>
        <v>0</v>
      </c>
      <c r="M25" s="31">
        <f t="shared" si="11"/>
        <v>0</v>
      </c>
      <c r="N25" s="31">
        <f t="shared" si="11"/>
        <v>0</v>
      </c>
      <c r="O25" s="31">
        <f t="shared" si="11"/>
        <v>0</v>
      </c>
      <c r="P25" s="31">
        <f t="shared" si="11"/>
        <v>0</v>
      </c>
    </row>
  </sheetData>
  <printOptions horizontalCentered="1"/>
  <pageMargins left="0.7" right="0.7" top="0.75" bottom="0.75" header="0.3" footer="0.3"/>
  <pageSetup paperSize="17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E30" sqref="E30"/>
    </sheetView>
  </sheetViews>
  <sheetFormatPr defaultColWidth="8.85546875" defaultRowHeight="15" x14ac:dyDescent="0.25"/>
  <cols>
    <col min="2" max="2" width="10" bestFit="1" customWidth="1"/>
    <col min="4" max="4" width="12.42578125" customWidth="1"/>
    <col min="5" max="5" width="14.28515625" bestFit="1" customWidth="1"/>
    <col min="6" max="7" width="15.7109375" bestFit="1" customWidth="1"/>
    <col min="8" max="9" width="14.28515625" bestFit="1" customWidth="1"/>
    <col min="10" max="16" width="14.140625" bestFit="1" customWidth="1"/>
  </cols>
  <sheetData>
    <row r="1" spans="1:16" x14ac:dyDescent="0.25">
      <c r="A1" s="137" t="s">
        <v>351</v>
      </c>
    </row>
    <row r="2" spans="1:16" x14ac:dyDescent="0.25">
      <c r="A2" s="137" t="s">
        <v>266</v>
      </c>
    </row>
    <row r="3" spans="1:16" x14ac:dyDescent="0.25">
      <c r="A3" s="137" t="s">
        <v>267</v>
      </c>
    </row>
    <row r="4" spans="1:16" x14ac:dyDescent="0.2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x14ac:dyDescent="0.25">
      <c r="E5" s="41" t="s">
        <v>61</v>
      </c>
      <c r="F5" s="41" t="s">
        <v>62</v>
      </c>
      <c r="G5" s="41" t="s">
        <v>63</v>
      </c>
      <c r="H5" s="41" t="s">
        <v>64</v>
      </c>
      <c r="I5" s="41" t="s">
        <v>65</v>
      </c>
      <c r="J5" s="41" t="s">
        <v>66</v>
      </c>
      <c r="K5" s="41" t="s">
        <v>204</v>
      </c>
      <c r="L5" s="41" t="s">
        <v>352</v>
      </c>
      <c r="M5" s="41" t="s">
        <v>353</v>
      </c>
      <c r="N5" s="41" t="s">
        <v>368</v>
      </c>
      <c r="O5" s="41" t="s">
        <v>368</v>
      </c>
      <c r="P5" s="41" t="s">
        <v>657</v>
      </c>
    </row>
    <row r="6" spans="1:16" x14ac:dyDescent="0.25">
      <c r="B6" s="30"/>
      <c r="C6" s="137" t="s">
        <v>671</v>
      </c>
      <c r="E6" s="5"/>
    </row>
    <row r="7" spans="1:16" x14ac:dyDescent="0.25">
      <c r="C7" t="s">
        <v>510</v>
      </c>
      <c r="E7" s="19">
        <v>0</v>
      </c>
      <c r="F7" s="19">
        <v>0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x14ac:dyDescent="0.25">
      <c r="C8" t="s">
        <v>668</v>
      </c>
      <c r="E8" s="312">
        <v>0</v>
      </c>
      <c r="F8" s="312">
        <v>0</v>
      </c>
      <c r="G8" s="312">
        <v>0</v>
      </c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C9" t="s">
        <v>666</v>
      </c>
      <c r="E9" s="321">
        <v>0</v>
      </c>
      <c r="F9" s="20">
        <v>0</v>
      </c>
      <c r="G9" s="20">
        <v>0</v>
      </c>
      <c r="H9" s="20">
        <v>0</v>
      </c>
      <c r="I9" s="2"/>
      <c r="J9" s="2"/>
      <c r="K9" s="2"/>
      <c r="L9" s="2"/>
      <c r="M9" s="2"/>
      <c r="N9" s="2"/>
      <c r="O9" s="2"/>
      <c r="P9" s="2"/>
    </row>
    <row r="10" spans="1:16" x14ac:dyDescent="0.25">
      <c r="C10" t="s">
        <v>667</v>
      </c>
      <c r="E10" s="134">
        <v>0</v>
      </c>
      <c r="F10" s="134">
        <v>0</v>
      </c>
      <c r="G10" s="320">
        <v>0</v>
      </c>
      <c r="H10" s="320">
        <v>0</v>
      </c>
      <c r="I10" s="320">
        <v>0</v>
      </c>
      <c r="J10" s="182"/>
      <c r="K10" s="182"/>
      <c r="L10" s="182"/>
      <c r="M10" s="182"/>
      <c r="N10" s="182"/>
      <c r="O10" s="182"/>
      <c r="P10" s="182"/>
    </row>
    <row r="11" spans="1:16" ht="15.75" thickBot="1" x14ac:dyDescent="0.3">
      <c r="E11" s="335">
        <f>SUM(E7:E10)</f>
        <v>0</v>
      </c>
      <c r="F11" s="138">
        <f t="shared" ref="F11:K11" si="0">SUM(F7:F10)</f>
        <v>0</v>
      </c>
      <c r="G11" s="138">
        <f>SUM(G7:G10)</f>
        <v>0</v>
      </c>
      <c r="H11" s="138">
        <f>SUM(H7:H10)</f>
        <v>0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</row>
    <row r="12" spans="1:16" ht="15.75" thickTop="1" x14ac:dyDescent="0.25"/>
    <row r="13" spans="1:16" x14ac:dyDescent="0.25">
      <c r="B13" s="30"/>
      <c r="C13" s="137" t="s">
        <v>670</v>
      </c>
    </row>
    <row r="14" spans="1:16" x14ac:dyDescent="0.25">
      <c r="B14" s="30"/>
      <c r="C14" t="s">
        <v>528</v>
      </c>
      <c r="E14" s="207">
        <v>0.08</v>
      </c>
      <c r="F14" s="207">
        <f>E14</f>
        <v>0.08</v>
      </c>
      <c r="G14" s="207">
        <f t="shared" ref="G14:N14" si="1">F14</f>
        <v>0.08</v>
      </c>
      <c r="H14" s="207">
        <f t="shared" si="1"/>
        <v>0.08</v>
      </c>
      <c r="I14" s="207">
        <f t="shared" si="1"/>
        <v>0.08</v>
      </c>
      <c r="J14" s="207">
        <f t="shared" si="1"/>
        <v>0.08</v>
      </c>
      <c r="K14" s="207">
        <f t="shared" si="1"/>
        <v>0.08</v>
      </c>
      <c r="L14" s="207">
        <f t="shared" si="1"/>
        <v>0.08</v>
      </c>
      <c r="M14" s="207">
        <f t="shared" si="1"/>
        <v>0.08</v>
      </c>
      <c r="N14" s="207">
        <f t="shared" si="1"/>
        <v>0.08</v>
      </c>
      <c r="O14" s="207"/>
      <c r="P14" s="207"/>
    </row>
    <row r="15" spans="1:16" x14ac:dyDescent="0.25">
      <c r="C15" t="s">
        <v>510</v>
      </c>
      <c r="E15" s="19">
        <v>0</v>
      </c>
      <c r="F15" s="1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C16" t="s">
        <v>668</v>
      </c>
      <c r="E16" s="312">
        <v>0</v>
      </c>
      <c r="F16" s="312">
        <v>0</v>
      </c>
      <c r="G16" s="312">
        <v>0</v>
      </c>
      <c r="H16" s="2"/>
      <c r="I16" s="2"/>
      <c r="J16" s="2"/>
      <c r="K16" s="2"/>
      <c r="L16" s="2"/>
      <c r="M16" s="2"/>
      <c r="N16" s="2"/>
      <c r="O16" s="2"/>
      <c r="P16" s="2"/>
    </row>
    <row r="17" spans="3:16" x14ac:dyDescent="0.25">
      <c r="C17" t="s">
        <v>666</v>
      </c>
      <c r="E17" s="313">
        <v>0</v>
      </c>
      <c r="F17" s="20">
        <v>0</v>
      </c>
      <c r="G17" s="20">
        <v>0</v>
      </c>
      <c r="H17" s="20">
        <v>0</v>
      </c>
      <c r="I17" s="2"/>
      <c r="J17" s="2"/>
      <c r="K17" s="2"/>
      <c r="L17" s="2"/>
      <c r="M17" s="2"/>
      <c r="N17" s="2"/>
      <c r="O17" s="2"/>
      <c r="P17" s="2"/>
    </row>
    <row r="18" spans="3:16" x14ac:dyDescent="0.25">
      <c r="C18" t="s">
        <v>667</v>
      </c>
      <c r="E18" s="134">
        <v>0</v>
      </c>
      <c r="F18" s="134">
        <v>0</v>
      </c>
      <c r="G18" s="320">
        <v>0</v>
      </c>
      <c r="H18" s="320">
        <v>0</v>
      </c>
      <c r="I18" s="320">
        <v>0</v>
      </c>
      <c r="J18" s="2"/>
      <c r="K18" s="2"/>
      <c r="L18" s="2"/>
      <c r="M18" s="2"/>
      <c r="N18" s="2"/>
      <c r="O18" s="2"/>
      <c r="P18" s="2"/>
    </row>
    <row r="19" spans="3:16" ht="15.75" thickBot="1" x14ac:dyDescent="0.3">
      <c r="E19" s="139">
        <f>SUM(E15:E18)</f>
        <v>0</v>
      </c>
      <c r="F19" s="139">
        <f t="shared" ref="F19:P19" si="2">SUM(F15:F18)</f>
        <v>0</v>
      </c>
      <c r="G19" s="139">
        <f>SUM(G15:G18)</f>
        <v>0</v>
      </c>
      <c r="H19" s="139">
        <f>SUM(H15:H18)</f>
        <v>0</v>
      </c>
      <c r="I19" s="139">
        <f t="shared" si="2"/>
        <v>0</v>
      </c>
      <c r="J19" s="139">
        <f>SUM(J15:J18)</f>
        <v>0</v>
      </c>
      <c r="K19" s="139">
        <f>SUM(K15:K18)</f>
        <v>0</v>
      </c>
      <c r="L19" s="139">
        <f t="shared" si="2"/>
        <v>0</v>
      </c>
      <c r="M19" s="139">
        <f t="shared" si="2"/>
        <v>0</v>
      </c>
      <c r="N19" s="139">
        <f t="shared" si="2"/>
        <v>0</v>
      </c>
      <c r="O19" s="139">
        <f t="shared" si="2"/>
        <v>0</v>
      </c>
      <c r="P19" s="139">
        <f t="shared" si="2"/>
        <v>0</v>
      </c>
    </row>
    <row r="20" spans="3:16" ht="15.75" thickTop="1" x14ac:dyDescent="0.25"/>
    <row r="22" spans="3:16" x14ac:dyDescent="0.25">
      <c r="C22" s="30" t="s">
        <v>669</v>
      </c>
    </row>
    <row r="23" spans="3:16" x14ac:dyDescent="0.25">
      <c r="E23" s="4" t="s">
        <v>342</v>
      </c>
      <c r="F23" s="4" t="s">
        <v>280</v>
      </c>
      <c r="G23" s="4" t="s">
        <v>281</v>
      </c>
      <c r="H23" s="4" t="s">
        <v>282</v>
      </c>
      <c r="I23" s="4" t="s">
        <v>283</v>
      </c>
      <c r="J23" s="4" t="s">
        <v>284</v>
      </c>
      <c r="K23" s="4" t="s">
        <v>529</v>
      </c>
      <c r="L23" s="4" t="s">
        <v>530</v>
      </c>
      <c r="M23" s="4" t="s">
        <v>531</v>
      </c>
      <c r="N23" s="4" t="s">
        <v>532</v>
      </c>
      <c r="O23" s="4" t="s">
        <v>285</v>
      </c>
    </row>
    <row r="24" spans="3:16" x14ac:dyDescent="0.25">
      <c r="C24" t="s">
        <v>672</v>
      </c>
      <c r="E24" s="321">
        <v>0</v>
      </c>
      <c r="F24" s="6">
        <v>0</v>
      </c>
      <c r="G24" s="322">
        <v>0</v>
      </c>
      <c r="H24" s="41"/>
      <c r="I24" s="31"/>
      <c r="J24" s="41"/>
      <c r="K24" s="41"/>
      <c r="L24" s="41"/>
      <c r="M24" s="41"/>
      <c r="N24" s="41"/>
      <c r="O24" s="41"/>
    </row>
    <row r="25" spans="3:16" x14ac:dyDescent="0.25">
      <c r="E25" s="31"/>
      <c r="F25" s="41"/>
      <c r="G25" s="31"/>
      <c r="H25" s="41"/>
      <c r="I25" s="31"/>
      <c r="J25" s="41"/>
      <c r="K25" s="41"/>
      <c r="L25" s="41"/>
      <c r="M25" s="41"/>
      <c r="N25" s="41"/>
      <c r="O25" s="41"/>
    </row>
    <row r="26" spans="3:16" x14ac:dyDescent="0.25">
      <c r="C26" t="s">
        <v>268</v>
      </c>
      <c r="E26" s="31">
        <f>E11</f>
        <v>0</v>
      </c>
      <c r="F26" s="19">
        <f t="shared" ref="F26:K26" si="3">F11</f>
        <v>0</v>
      </c>
      <c r="G26" s="19">
        <f t="shared" si="3"/>
        <v>0</v>
      </c>
      <c r="H26" s="19">
        <f>H11</f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/>
      <c r="M26" s="19"/>
      <c r="N26" s="19"/>
      <c r="O26" s="48">
        <f>SUM(E26:K26)</f>
        <v>0</v>
      </c>
    </row>
    <row r="27" spans="3:16" x14ac:dyDescent="0.25">
      <c r="C27" t="s">
        <v>269</v>
      </c>
      <c r="E27" s="134">
        <f>E19</f>
        <v>0</v>
      </c>
      <c r="F27" s="134">
        <f t="shared" ref="F27:K27" si="4">F19</f>
        <v>0</v>
      </c>
      <c r="G27" s="134">
        <f t="shared" si="4"/>
        <v>0</v>
      </c>
      <c r="H27" s="134">
        <f t="shared" si="4"/>
        <v>0</v>
      </c>
      <c r="I27" s="134">
        <f t="shared" si="4"/>
        <v>0</v>
      </c>
      <c r="J27" s="134">
        <f t="shared" si="4"/>
        <v>0</v>
      </c>
      <c r="K27" s="134">
        <f t="shared" si="4"/>
        <v>0</v>
      </c>
      <c r="L27" s="134"/>
      <c r="M27" s="134"/>
      <c r="N27" s="134"/>
      <c r="O27" s="48">
        <f>SUM(E27:K27)</f>
        <v>0</v>
      </c>
    </row>
    <row r="28" spans="3:16" ht="15.75" thickBot="1" x14ac:dyDescent="0.3">
      <c r="E28" s="59">
        <f t="shared" ref="E28:K28" si="5">SUM(E26:E27)</f>
        <v>0</v>
      </c>
      <c r="F28" s="59">
        <f t="shared" si="5"/>
        <v>0</v>
      </c>
      <c r="G28" s="59">
        <f t="shared" si="5"/>
        <v>0</v>
      </c>
      <c r="H28" s="59">
        <f t="shared" si="5"/>
        <v>0</v>
      </c>
      <c r="I28" s="59">
        <f t="shared" si="5"/>
        <v>0</v>
      </c>
      <c r="J28" s="59">
        <f t="shared" si="5"/>
        <v>0</v>
      </c>
      <c r="K28" s="59">
        <f t="shared" si="5"/>
        <v>0</v>
      </c>
      <c r="L28" s="208">
        <v>0</v>
      </c>
      <c r="M28" s="208">
        <v>0</v>
      </c>
      <c r="N28" s="208">
        <v>0</v>
      </c>
      <c r="O28" s="48">
        <f>SUM(E28:K28)</f>
        <v>0</v>
      </c>
    </row>
    <row r="29" spans="3:16" ht="15.75" thickTop="1" x14ac:dyDescent="0.25">
      <c r="C29" t="s">
        <v>527</v>
      </c>
      <c r="F29" s="31"/>
      <c r="G29" s="31"/>
      <c r="H29" s="31"/>
    </row>
  </sheetData>
  <printOptions horizontalCentered="1"/>
  <pageMargins left="0.7" right="0.7" top="0.75" bottom="0.75" header="0.3" footer="0.3"/>
  <pageSetup paperSize="17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H224"/>
  <sheetViews>
    <sheetView workbookViewId="0">
      <selection activeCell="C202" sqref="C202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1" bestFit="1" customWidth="1"/>
    <col min="5" max="16" width="12.7109375" customWidth="1"/>
    <col min="31" max="31" width="13.855468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CSO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>F4+E5</f>
        <v>0.02</v>
      </c>
      <c r="G5" s="81">
        <f t="shared" ref="G5:P5" si="1">G4+F5</f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140</v>
      </c>
      <c r="E13" s="93">
        <v>0.99</v>
      </c>
      <c r="F13" s="94">
        <f>E13</f>
        <v>0.99</v>
      </c>
      <c r="G13" s="94">
        <f t="shared" ref="G13:P16" si="8">F13</f>
        <v>0.99</v>
      </c>
      <c r="H13" s="64">
        <f t="shared" si="8"/>
        <v>0.99</v>
      </c>
      <c r="I13" s="64">
        <f t="shared" si="8"/>
        <v>0.99</v>
      </c>
      <c r="J13" s="64">
        <f t="shared" si="8"/>
        <v>0.99</v>
      </c>
      <c r="K13" s="64">
        <f t="shared" si="8"/>
        <v>0.99</v>
      </c>
      <c r="L13" s="64">
        <f t="shared" si="8"/>
        <v>0.99</v>
      </c>
      <c r="M13" s="64">
        <f t="shared" si="8"/>
        <v>0.99</v>
      </c>
      <c r="N13" s="64">
        <f t="shared" si="8"/>
        <v>0.99</v>
      </c>
      <c r="O13" s="64">
        <f t="shared" si="8"/>
        <v>0.99</v>
      </c>
      <c r="P13" s="64">
        <f t="shared" si="8"/>
        <v>0.99</v>
      </c>
    </row>
    <row r="14" spans="1:60" x14ac:dyDescent="0.25">
      <c r="A14" s="30"/>
      <c r="B14" t="s">
        <v>141</v>
      </c>
      <c r="E14" s="93">
        <v>0.3</v>
      </c>
      <c r="F14" s="64">
        <f>E14</f>
        <v>0.3</v>
      </c>
      <c r="G14" s="64">
        <f t="shared" si="8"/>
        <v>0.3</v>
      </c>
      <c r="H14" s="64">
        <f t="shared" si="8"/>
        <v>0.3</v>
      </c>
      <c r="I14" s="64">
        <f t="shared" si="8"/>
        <v>0.3</v>
      </c>
      <c r="J14" s="64">
        <f t="shared" si="8"/>
        <v>0.3</v>
      </c>
      <c r="K14" s="64">
        <f t="shared" si="8"/>
        <v>0.3</v>
      </c>
      <c r="L14" s="64">
        <f t="shared" si="8"/>
        <v>0.3</v>
      </c>
      <c r="M14" s="64">
        <f t="shared" si="8"/>
        <v>0.3</v>
      </c>
      <c r="N14" s="64">
        <f t="shared" si="8"/>
        <v>0.3</v>
      </c>
      <c r="O14" s="64">
        <f t="shared" si="8"/>
        <v>0.3</v>
      </c>
      <c r="P14" s="64">
        <f t="shared" si="8"/>
        <v>0.3</v>
      </c>
    </row>
    <row r="15" spans="1:60" x14ac:dyDescent="0.25">
      <c r="A15" s="30"/>
      <c r="B15" s="18" t="s">
        <v>142</v>
      </c>
      <c r="E15" s="316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 t="shared" ref="E17:P17" si="10">E13*E182</f>
        <v>742.5</v>
      </c>
      <c r="F17" s="31">
        <f t="shared" si="10"/>
        <v>846.45</v>
      </c>
      <c r="G17" s="31">
        <f t="shared" si="10"/>
        <v>990</v>
      </c>
      <c r="H17" s="31">
        <f t="shared" si="10"/>
        <v>1059.3</v>
      </c>
      <c r="I17" s="31">
        <f t="shared" si="10"/>
        <v>1108.8</v>
      </c>
      <c r="J17" s="31">
        <f t="shared" si="10"/>
        <v>1148.4000000000001</v>
      </c>
      <c r="K17" s="31">
        <f t="shared" si="10"/>
        <v>1189.98</v>
      </c>
      <c r="L17" s="31">
        <f t="shared" si="10"/>
        <v>1231.56</v>
      </c>
      <c r="M17" s="31">
        <f t="shared" si="10"/>
        <v>1278.0899999999999</v>
      </c>
      <c r="N17" s="31">
        <f t="shared" si="10"/>
        <v>1324.62</v>
      </c>
      <c r="O17" s="31">
        <f t="shared" si="10"/>
        <v>1373.1299999999999</v>
      </c>
      <c r="P17" s="31">
        <f t="shared" si="10"/>
        <v>1423.62</v>
      </c>
    </row>
    <row r="18" spans="1:16" x14ac:dyDescent="0.25">
      <c r="A18" s="30"/>
      <c r="B18" s="18" t="s">
        <v>145</v>
      </c>
      <c r="E18" s="31">
        <f>+E17*E14</f>
        <v>222.75</v>
      </c>
      <c r="F18" s="31">
        <f>+F17*F14</f>
        <v>253.935</v>
      </c>
      <c r="G18" s="31">
        <f>+G17*G14</f>
        <v>297</v>
      </c>
      <c r="H18" s="31">
        <f>+H17*H14</f>
        <v>317.78999999999996</v>
      </c>
      <c r="I18" s="31">
        <f>+I17*I14</f>
        <v>332.64</v>
      </c>
      <c r="J18" s="31">
        <f t="shared" ref="J18:P18" si="11">+J17*J14</f>
        <v>344.52000000000004</v>
      </c>
      <c r="K18" s="31">
        <f t="shared" si="11"/>
        <v>356.99399999999997</v>
      </c>
      <c r="L18" s="31">
        <f t="shared" si="11"/>
        <v>369.46799999999996</v>
      </c>
      <c r="M18" s="31">
        <f t="shared" si="11"/>
        <v>383.42699999999996</v>
      </c>
      <c r="N18" s="31">
        <f t="shared" si="11"/>
        <v>397.38599999999997</v>
      </c>
      <c r="O18" s="31">
        <f t="shared" si="11"/>
        <v>411.93899999999996</v>
      </c>
      <c r="P18" s="31">
        <f t="shared" si="11"/>
        <v>427.08599999999996</v>
      </c>
    </row>
    <row r="19" spans="1:16" x14ac:dyDescent="0.25">
      <c r="A19" s="30"/>
      <c r="B19" s="18" t="s">
        <v>146</v>
      </c>
      <c r="E19" s="31">
        <f t="shared" ref="E19:P19" si="12">E182*E15</f>
        <v>75</v>
      </c>
      <c r="F19" s="31">
        <f t="shared" si="12"/>
        <v>85.5</v>
      </c>
      <c r="G19" s="31">
        <f t="shared" si="12"/>
        <v>100</v>
      </c>
      <c r="H19" s="31">
        <f t="shared" si="12"/>
        <v>107</v>
      </c>
      <c r="I19" s="31">
        <f t="shared" si="12"/>
        <v>112</v>
      </c>
      <c r="J19" s="31">
        <f t="shared" si="12"/>
        <v>116</v>
      </c>
      <c r="K19" s="31">
        <f t="shared" si="12"/>
        <v>120.2</v>
      </c>
      <c r="L19" s="31">
        <f t="shared" si="12"/>
        <v>124.4</v>
      </c>
      <c r="M19" s="31">
        <f t="shared" si="12"/>
        <v>129.1</v>
      </c>
      <c r="N19" s="31">
        <f t="shared" si="12"/>
        <v>133.80000000000001</v>
      </c>
      <c r="O19" s="31">
        <f t="shared" si="12"/>
        <v>138.70000000000002</v>
      </c>
      <c r="P19" s="31">
        <f t="shared" si="12"/>
        <v>143.80000000000001</v>
      </c>
    </row>
    <row r="20" spans="1:16" x14ac:dyDescent="0.25">
      <c r="A20" s="30"/>
      <c r="B20" s="18" t="s">
        <v>147</v>
      </c>
      <c r="E20" s="31">
        <f t="shared" ref="E20:P20" si="13">E182*E16</f>
        <v>7.5</v>
      </c>
      <c r="F20" s="31">
        <f t="shared" si="13"/>
        <v>8.5500000000000007</v>
      </c>
      <c r="G20" s="31">
        <f t="shared" si="13"/>
        <v>10</v>
      </c>
      <c r="H20" s="31">
        <f t="shared" si="13"/>
        <v>10.700000000000001</v>
      </c>
      <c r="I20" s="31">
        <f t="shared" si="13"/>
        <v>11.200000000000001</v>
      </c>
      <c r="J20" s="31">
        <f t="shared" si="13"/>
        <v>11.6</v>
      </c>
      <c r="K20" s="31">
        <f t="shared" si="13"/>
        <v>12.02</v>
      </c>
      <c r="L20" s="31">
        <f t="shared" si="13"/>
        <v>12.44</v>
      </c>
      <c r="M20" s="31">
        <f t="shared" si="13"/>
        <v>12.91</v>
      </c>
      <c r="N20" s="31">
        <f t="shared" si="13"/>
        <v>13.38</v>
      </c>
      <c r="O20" s="31">
        <f t="shared" si="13"/>
        <v>13.870000000000001</v>
      </c>
      <c r="P20" s="31">
        <f t="shared" si="13"/>
        <v>14.38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C23" s="2" t="s">
        <v>756</v>
      </c>
      <c r="D23" s="326">
        <v>0.3</v>
      </c>
      <c r="E23" s="6">
        <f>(('School Rollup'!D6-'School Rollup'!BQ6)/(1-$D23))*$D23</f>
        <v>1380116.25</v>
      </c>
      <c r="F23" s="6">
        <f>(('School Rollup'!E6-'School Rollup'!BR6)/(1-$D23))*$D23</f>
        <v>1545233.4787500002</v>
      </c>
      <c r="G23" s="6">
        <f>(('School Rollup'!F6-'School Rollup'!BS6)/(1-$D23))*$D23</f>
        <v>1830524.0196750008</v>
      </c>
      <c r="H23" s="6">
        <f>(('School Rollup'!G6-'School Rollup'!BT6)/(1-$D23))*$D23</f>
        <v>1971759.6489726896</v>
      </c>
      <c r="I23" s="6">
        <f>(('School Rollup'!H6-'School Rollup'!BU6)/(1-$D23))*$D23</f>
        <v>2076904.7811062168</v>
      </c>
      <c r="J23" s="6">
        <f>(('School Rollup'!I6-'School Rollup'!BV6)/(1-$D23))*$D23</f>
        <v>2155984.6247099279</v>
      </c>
      <c r="K23" s="6">
        <f>(('School Rollup'!J6-'School Rollup'!BW6)/(1-$D23))*$D23</f>
        <v>2246686.6982963975</v>
      </c>
      <c r="L23" s="6">
        <f>(('School Rollup'!K6-'School Rollup'!BX6)/(1-$D23))*$D23</f>
        <v>2338628.028851524</v>
      </c>
      <c r="M23" s="6">
        <f>(('School Rollup'!L6-'School Rollup'!BY6)/(1-$D23))*$D23</f>
        <v>2440474.717727283</v>
      </c>
      <c r="N23" s="6">
        <f>(('School Rollup'!M6-'School Rollup'!BZ6)/(1-$D23))*$D23</f>
        <v>2543717.559109556</v>
      </c>
      <c r="O23" s="6">
        <f>(('School Rollup'!N6-'School Rollup'!CA6)/(1-$D23))*$D23</f>
        <v>2652746.9670608118</v>
      </c>
      <c r="P23" s="6">
        <f>(('School Rollup'!O6-'School Rollup'!CB6)/(1-$D23))*$D23</f>
        <v>2765505.4721287377</v>
      </c>
    </row>
    <row r="24" spans="1:16" s="2" customFormat="1" collapsed="1" x14ac:dyDescent="0.25">
      <c r="A24" s="16"/>
      <c r="B24" s="16" t="s">
        <v>427</v>
      </c>
      <c r="E24" s="174">
        <f>SUM(E23:E23)</f>
        <v>1380116.25</v>
      </c>
      <c r="F24" s="174">
        <f t="shared" ref="F24:P24" si="15">SUM(F23:F23)</f>
        <v>1545233.4787500002</v>
      </c>
      <c r="G24" s="174">
        <f t="shared" si="15"/>
        <v>1830524.0196750008</v>
      </c>
      <c r="H24" s="174">
        <f t="shared" si="15"/>
        <v>1971759.6489726896</v>
      </c>
      <c r="I24" s="174">
        <f t="shared" si="15"/>
        <v>2076904.7811062168</v>
      </c>
      <c r="J24" s="174">
        <f t="shared" si="15"/>
        <v>2155984.6247099279</v>
      </c>
      <c r="K24" s="174">
        <f t="shared" si="15"/>
        <v>2246686.6982963975</v>
      </c>
      <c r="L24" s="174">
        <f t="shared" si="15"/>
        <v>2338628.028851524</v>
      </c>
      <c r="M24" s="174">
        <f t="shared" si="15"/>
        <v>2440474.717727283</v>
      </c>
      <c r="N24" s="174">
        <f t="shared" si="15"/>
        <v>2543717.559109556</v>
      </c>
      <c r="O24" s="174">
        <f t="shared" si="15"/>
        <v>2652746.9670608118</v>
      </c>
      <c r="P24" s="174">
        <f t="shared" si="15"/>
        <v>2765505.4721287377</v>
      </c>
    </row>
    <row r="25" spans="1:16" s="2" customFormat="1" hidden="1" outlineLevel="1" x14ac:dyDescent="0.25">
      <c r="A25" s="121"/>
      <c r="B25" s="123" t="s">
        <v>209</v>
      </c>
      <c r="E25" s="6">
        <f>E$17*Revenue!D$12-Site1!E25-Site2!E25-Site3!E25-Site4!E25-Site5!E25-Site6!E25</f>
        <v>9900</v>
      </c>
      <c r="F25" s="6">
        <f>F$17*Revenue!E$17-Site1!F25-Site2!F25-Site3!F25-Site4!F25-Site5!F25-Site6!F25</f>
        <v>13194.9</v>
      </c>
      <c r="G25" s="6">
        <f>G$17*Revenue!F$17-Site1!G25-Site2!G25-Site3!G25-Site4!G25-Site5!G25-Site6!G25</f>
        <v>15530.4</v>
      </c>
      <c r="H25" s="6">
        <f>H$17*Revenue!G$17-Site1!H25-Site2!H25-Site3!H25-Site4!H25-Site5!H25-Site6!H25</f>
        <v>16754.039999999997</v>
      </c>
      <c r="I25" s="6">
        <f>I$17*Revenue!H$17-Site1!I25-Site2!I25-Site3!I25-Site4!I25-Site5!I25-Site6!I25</f>
        <v>17534.879999999997</v>
      </c>
      <c r="J25" s="6">
        <f>J$17*Revenue!I$17-Site1!J25-Site2!J25-Site3!J25-Site4!J25-Site5!J25-Site6!J25</f>
        <v>18119.16</v>
      </c>
      <c r="K25" s="6">
        <f>K$17*Revenue!J$17-Site1!K25-Site2!K25-Site3!K25-Site4!K25-Site5!K25-Site6!K25</f>
        <v>18739.079999999998</v>
      </c>
      <c r="L25" s="6">
        <f>L$17*Revenue!K$17-Site1!L25-Site2!L25-Site3!L25-Site4!L25-Site5!L25-Site6!L25</f>
        <v>19359</v>
      </c>
      <c r="M25" s="6">
        <f>M$17*Revenue!L$17-Site1!M25-Site2!M25-Site3!M25-Site4!M25-Site5!M25-Site6!M25</f>
        <v>20049.66</v>
      </c>
      <c r="N25" s="6">
        <f>N$17*Revenue!M$17-Site1!N25-Site2!N25-Site3!N25-Site4!N25-Site5!N25-Site6!N25</f>
        <v>20740.319999999996</v>
      </c>
      <c r="O25" s="6">
        <f>O$17*Revenue!N$17-Site1!O25-Site2!O25-Site3!O25-Site4!O25-Site5!O25-Site6!O25</f>
        <v>21466.619999999995</v>
      </c>
      <c r="P25" s="6">
        <f>P$17*Revenue!O$17-Site1!P25-Site2!P25-Site3!P25-Site4!P25-Site5!P25-Site6!P25</f>
        <v>22210.199999999997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s="193"/>
      <c r="D27" s="327"/>
      <c r="E27" s="6">
        <f>E$17*Revenue!D$19-Site1!E27-Site2!E27-Site3!E27-Site4!E27-Site5!E27-Site6!E27</f>
        <v>36300</v>
      </c>
      <c r="F27" s="6">
        <f>F$17*Revenue!E$19-Site1!F27-Site2!F27-Site3!F27-Site4!F27-Site5!F27-Site6!F27</f>
        <v>29322</v>
      </c>
      <c r="G27" s="6">
        <f>G$17*Revenue!F$19-Site1!G27-Site2!G27-Site3!G27-Site4!G27-Site5!G27-Site6!G27</f>
        <v>34512</v>
      </c>
      <c r="H27" s="6">
        <f>H$17*Revenue!G$19-Site1!H27-Site2!H27-Site3!H27-Site4!H27-Site5!H27-Site6!H27</f>
        <v>37231.199999999997</v>
      </c>
      <c r="I27" s="6">
        <f>I$17*Revenue!H$19-Site1!I27-Site2!I27-Site3!I27-Site4!I27-Site5!I27-Site6!I27</f>
        <v>38966.400000000001</v>
      </c>
      <c r="J27" s="6">
        <f>J$17*Revenue!I$19-Site1!J27-Site2!J27-Site3!J27-Site4!J27-Site5!J27-Site6!J27</f>
        <v>40264.800000000003</v>
      </c>
      <c r="K27" s="6">
        <f>K$17*Revenue!J$19-Site1!K27-Site2!K27-Site3!K27-Site4!K27-Site5!K27-Site6!K27</f>
        <v>41642.399999999994</v>
      </c>
      <c r="L27" s="6">
        <f>L$17*Revenue!K$19-Site1!L27-Site2!L27-Site3!L27-Site4!L27-Site5!L27-Site6!L27</f>
        <v>43019.999999999993</v>
      </c>
      <c r="M27" s="6">
        <f>M$17*Revenue!L$19-Site1!M27-Site2!M27-Site3!M27-Site4!M27-Site5!M27-Site6!M27</f>
        <v>44554.799999999996</v>
      </c>
      <c r="N27" s="6">
        <f>N$17*Revenue!M$19-Site1!N27-Site2!N27-Site3!N27-Site4!N27-Site5!N27-Site6!N27</f>
        <v>46089.599999999999</v>
      </c>
      <c r="O27" s="6">
        <f>O$17*Revenue!N$19-Site1!O27-Site2!O27-Site3!O27-Site4!O27-Site5!O27-Site6!O27</f>
        <v>47703.6</v>
      </c>
      <c r="P27" s="6">
        <f>P$17*Revenue!O$19-Site1!P27-Site2!P27-Site3!P27-Site4!P27-Site5!P27-Site6!P27</f>
        <v>49355.999999999993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18000</v>
      </c>
      <c r="F28" s="32">
        <f t="shared" ref="F28:P28" si="16">F125*0.5</f>
        <v>18360</v>
      </c>
      <c r="G28" s="32">
        <f t="shared" si="16"/>
        <v>18720</v>
      </c>
      <c r="H28" s="32">
        <f t="shared" si="16"/>
        <v>19080</v>
      </c>
      <c r="I28" s="32">
        <f t="shared" si="16"/>
        <v>19440</v>
      </c>
      <c r="J28" s="32">
        <f t="shared" si="16"/>
        <v>19800.000000000004</v>
      </c>
      <c r="K28" s="32">
        <f t="shared" si="16"/>
        <v>20160.000000000004</v>
      </c>
      <c r="L28" s="32">
        <f t="shared" si="16"/>
        <v>20520.000000000004</v>
      </c>
      <c r="M28" s="32">
        <f t="shared" si="16"/>
        <v>20879.999999999996</v>
      </c>
      <c r="N28" s="32">
        <f t="shared" si="16"/>
        <v>21240</v>
      </c>
      <c r="O28" s="32">
        <f t="shared" si="16"/>
        <v>21600</v>
      </c>
      <c r="P28" s="32">
        <f t="shared" si="16"/>
        <v>21960</v>
      </c>
    </row>
    <row r="29" spans="1:16" s="2" customFormat="1" collapsed="1" x14ac:dyDescent="0.25">
      <c r="A29" s="121"/>
      <c r="B29" s="16" t="s">
        <v>428</v>
      </c>
      <c r="E29" s="174">
        <f>SUM(E25:E28)</f>
        <v>64200</v>
      </c>
      <c r="F29" s="174">
        <f t="shared" ref="F29:P29" si="17">SUM(F25:F28)</f>
        <v>60876.9</v>
      </c>
      <c r="G29" s="174">
        <f t="shared" si="17"/>
        <v>68762.399999999994</v>
      </c>
      <c r="H29" s="174">
        <f t="shared" si="17"/>
        <v>73065.239999999991</v>
      </c>
      <c r="I29" s="174">
        <f t="shared" si="17"/>
        <v>75941.279999999999</v>
      </c>
      <c r="J29" s="174">
        <f t="shared" si="17"/>
        <v>78183.960000000006</v>
      </c>
      <c r="K29" s="174">
        <f t="shared" si="17"/>
        <v>80541.48</v>
      </c>
      <c r="L29" s="174">
        <f t="shared" si="17"/>
        <v>82899</v>
      </c>
      <c r="M29" s="174">
        <f t="shared" si="17"/>
        <v>85484.459999999992</v>
      </c>
      <c r="N29" s="174">
        <f t="shared" si="17"/>
        <v>88069.92</v>
      </c>
      <c r="O29" s="174">
        <f t="shared" si="17"/>
        <v>90770.22</v>
      </c>
      <c r="P29" s="174">
        <f t="shared" si="17"/>
        <v>93526.199999999983</v>
      </c>
    </row>
    <row r="30" spans="1:16" s="2" customFormat="1" hidden="1" outlineLevel="1" x14ac:dyDescent="0.25">
      <c r="A30" s="16"/>
      <c r="B30" s="127" t="s">
        <v>155</v>
      </c>
      <c r="E30" s="6">
        <f>E$17*Revenue!D$17-Site1!E30-Site2!E30-Site3!E30-Site4!E30-Site5!E30-Site6!E30</f>
        <v>9900</v>
      </c>
      <c r="F30" s="6">
        <f>F$17*Revenue!E$17-Site1!F30-Site2!F30-Site3!F30-Site4!F30-Site5!F30-Site6!F30</f>
        <v>13194.9</v>
      </c>
      <c r="G30" s="6">
        <f>G$17*Revenue!F$17-Site1!G30-Site2!G30-Site3!G30-Site4!G30-Site5!G30-Site6!G30</f>
        <v>15530.4</v>
      </c>
      <c r="H30" s="6">
        <f>H$17*Revenue!G$17-Site1!H30-Site2!H30-Site3!H30-Site4!H30-Site5!H30-Site6!H30</f>
        <v>16754.039999999997</v>
      </c>
      <c r="I30" s="6">
        <f>I$17*Revenue!H$17-Site1!I30-Site2!I30-Site3!I30-Site4!I30-Site5!I30-Site6!I30</f>
        <v>17534.879999999997</v>
      </c>
      <c r="J30" s="6">
        <f>J$17*Revenue!I$17-Site1!J30-Site2!J30-Site3!J30-Site4!J30-Site5!J30-Site6!J30</f>
        <v>18119.16</v>
      </c>
      <c r="K30" s="6">
        <f>K$17*Revenue!J$17-Site1!K30-Site2!K30-Site3!K30-Site4!K30-Site5!K30-Site6!K30</f>
        <v>18739.079999999998</v>
      </c>
      <c r="L30" s="6">
        <f>L$17*Revenue!K$17-Site1!L30-Site2!L30-Site3!L30-Site4!L30-Site5!L30-Site6!L30</f>
        <v>19359</v>
      </c>
      <c r="M30" s="6">
        <f>M$17*Revenue!L$17-Site1!M30-Site2!M30-Site3!M30-Site4!M30-Site5!M30-Site6!M30</f>
        <v>20049.66</v>
      </c>
      <c r="N30" s="6">
        <f>N$17*Revenue!M$17-Site1!N30-Site2!N30-Site3!N30-Site4!N30-Site5!N30-Site6!N30</f>
        <v>20740.319999999996</v>
      </c>
      <c r="O30" s="6">
        <f>O$17*Revenue!N$17-Site1!O30-Site2!O30-Site3!O30-Site4!O30-Site5!O30-Site6!O30</f>
        <v>21466.619999999995</v>
      </c>
      <c r="P30" s="6">
        <f>P$17*Revenue!O$17-Site1!P30-Site2!P30-Site3!P30-Site4!P30-Site5!P30-Site6!P30</f>
        <v>22210.199999999997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74">
        <f t="shared" ref="E34:P34" si="18">SUM(E30:E33)</f>
        <v>9900</v>
      </c>
      <c r="F34" s="174">
        <f t="shared" si="18"/>
        <v>13194.9</v>
      </c>
      <c r="G34" s="174">
        <f t="shared" si="18"/>
        <v>15530.4</v>
      </c>
      <c r="H34" s="174">
        <f t="shared" si="18"/>
        <v>16754.039999999997</v>
      </c>
      <c r="I34" s="174">
        <f t="shared" si="18"/>
        <v>17534.879999999997</v>
      </c>
      <c r="J34" s="174">
        <f t="shared" si="18"/>
        <v>18119.16</v>
      </c>
      <c r="K34" s="174">
        <f t="shared" si="18"/>
        <v>18739.079999999998</v>
      </c>
      <c r="L34" s="174">
        <f t="shared" si="18"/>
        <v>19359</v>
      </c>
      <c r="M34" s="174">
        <f t="shared" si="18"/>
        <v>20049.66</v>
      </c>
      <c r="N34" s="174">
        <f t="shared" si="18"/>
        <v>20740.319999999996</v>
      </c>
      <c r="O34" s="174">
        <f t="shared" si="18"/>
        <v>21466.619999999995</v>
      </c>
      <c r="P34" s="174">
        <f t="shared" si="18"/>
        <v>22210.199999999997</v>
      </c>
    </row>
    <row r="35" spans="1:16" s="2" customFormat="1" hidden="1" outlineLevel="1" x14ac:dyDescent="0.25">
      <c r="A35" s="16"/>
      <c r="B35" s="2" t="s">
        <v>758</v>
      </c>
      <c r="C35" s="2" t="s">
        <v>757</v>
      </c>
      <c r="D35" s="254"/>
      <c r="E35" s="107">
        <f>Site5!E83</f>
        <v>158287.5</v>
      </c>
      <c r="F35" s="107">
        <f>Site5!F83</f>
        <v>221138.19</v>
      </c>
      <c r="G35" s="107">
        <f>Site5!G83</f>
        <v>252176.51452500004</v>
      </c>
      <c r="H35" s="107">
        <f>Site5!H83</f>
        <v>261591.20641375319</v>
      </c>
      <c r="I35" s="107">
        <f>Site5!I83</f>
        <v>276103.290007659</v>
      </c>
      <c r="J35" s="107">
        <f>Site5!J83</f>
        <v>292925.71962801204</v>
      </c>
      <c r="K35" s="107">
        <f>Site5!K83</f>
        <v>309984.95488260745</v>
      </c>
      <c r="L35" s="107">
        <f>Site5!L83</f>
        <v>327283.60159429262</v>
      </c>
      <c r="M35" s="107">
        <f>Site5!M83</f>
        <v>346979.44317389687</v>
      </c>
      <c r="N35" s="107">
        <f>Site5!N83</f>
        <v>366952.31267460558</v>
      </c>
      <c r="O35" s="107">
        <f>Site5!O83</f>
        <v>387205.25762414635</v>
      </c>
      <c r="P35" s="107">
        <f>Site5!P83</f>
        <v>409945.36300834408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74">
        <f>SUM(E35:E37)</f>
        <v>158287.5</v>
      </c>
      <c r="F38" s="174">
        <f t="shared" ref="F38:P38" si="19">SUM(F35:F37)</f>
        <v>221138.19</v>
      </c>
      <c r="G38" s="174">
        <f t="shared" si="19"/>
        <v>252176.51452500004</v>
      </c>
      <c r="H38" s="174">
        <f t="shared" si="19"/>
        <v>261591.20641375319</v>
      </c>
      <c r="I38" s="174">
        <f t="shared" si="19"/>
        <v>276103.290007659</v>
      </c>
      <c r="J38" s="174">
        <f t="shared" si="19"/>
        <v>292925.71962801204</v>
      </c>
      <c r="K38" s="174">
        <f t="shared" si="19"/>
        <v>309984.95488260745</v>
      </c>
      <c r="L38" s="174">
        <f t="shared" si="19"/>
        <v>327283.60159429262</v>
      </c>
      <c r="M38" s="174">
        <f t="shared" si="19"/>
        <v>346979.44317389687</v>
      </c>
      <c r="N38" s="174">
        <f t="shared" si="19"/>
        <v>366952.31267460558</v>
      </c>
      <c r="O38" s="174">
        <f t="shared" si="19"/>
        <v>387205.25762414635</v>
      </c>
      <c r="P38" s="174">
        <f t="shared" si="19"/>
        <v>409945.36300834408</v>
      </c>
    </row>
    <row r="39" spans="1:16" s="2" customFormat="1" ht="15.75" thickBot="1" x14ac:dyDescent="0.3">
      <c r="A39" s="16" t="s">
        <v>210</v>
      </c>
      <c r="E39" s="131">
        <f>E34+E29+E24+E38</f>
        <v>1612503.75</v>
      </c>
      <c r="F39" s="131">
        <f t="shared" ref="F39:P39" si="20">F34+F29+F24+F38</f>
        <v>1840443.4687500002</v>
      </c>
      <c r="G39" s="131">
        <f t="shared" si="20"/>
        <v>2166993.3342000009</v>
      </c>
      <c r="H39" s="131">
        <f t="shared" si="20"/>
        <v>2323170.1353864428</v>
      </c>
      <c r="I39" s="131">
        <f t="shared" si="20"/>
        <v>2446484.2311138762</v>
      </c>
      <c r="J39" s="131">
        <f t="shared" si="20"/>
        <v>2545213.4643379403</v>
      </c>
      <c r="K39" s="131">
        <f t="shared" si="20"/>
        <v>2655952.2131790048</v>
      </c>
      <c r="L39" s="131">
        <f t="shared" si="20"/>
        <v>2768169.6304458166</v>
      </c>
      <c r="M39" s="131">
        <f t="shared" si="20"/>
        <v>2892988.2809011801</v>
      </c>
      <c r="N39" s="131">
        <f t="shared" si="20"/>
        <v>3019480.1117841615</v>
      </c>
      <c r="O39" s="131">
        <f t="shared" si="20"/>
        <v>3152189.0646849582</v>
      </c>
      <c r="P39" s="131">
        <f t="shared" si="20"/>
        <v>3291187.2351370817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305" t="s">
        <v>750</v>
      </c>
      <c r="D42" s="331">
        <v>1.144827</v>
      </c>
      <c r="E42" s="107">
        <f>IF(E$182=0,0,SUMIFS(E$209:E$217,$A$209:$A$217,$A42))*$D42</f>
        <v>0</v>
      </c>
      <c r="F42" s="107">
        <f t="shared" ref="F42:P42" si="22">IF(F$182=0,0,SUMIFS(F$209:F$217,$A$209:$A$217,$A42))*$D42</f>
        <v>0</v>
      </c>
      <c r="G42" s="107">
        <f t="shared" si="22"/>
        <v>0</v>
      </c>
      <c r="H42" s="107">
        <f t="shared" si="22"/>
        <v>0</v>
      </c>
      <c r="I42" s="107">
        <f t="shared" si="22"/>
        <v>0</v>
      </c>
      <c r="J42" s="107">
        <f t="shared" si="22"/>
        <v>0</v>
      </c>
      <c r="K42" s="107">
        <f t="shared" si="22"/>
        <v>0</v>
      </c>
      <c r="L42" s="107">
        <f t="shared" si="22"/>
        <v>0</v>
      </c>
      <c r="M42" s="107">
        <f t="shared" si="22"/>
        <v>0</v>
      </c>
      <c r="N42" s="107">
        <f t="shared" si="22"/>
        <v>0</v>
      </c>
      <c r="O42" s="107">
        <f t="shared" si="22"/>
        <v>0</v>
      </c>
      <c r="P42" s="107">
        <f t="shared" si="22"/>
        <v>0</v>
      </c>
    </row>
    <row r="43" spans="1:16" s="2" customFormat="1" hidden="1" outlineLevel="2" x14ac:dyDescent="0.25">
      <c r="A43" s="62" t="s">
        <v>402</v>
      </c>
      <c r="B43" s="18" t="s">
        <v>372</v>
      </c>
      <c r="C43" s="305" t="s">
        <v>751</v>
      </c>
      <c r="D43" s="332">
        <v>1.125E-2</v>
      </c>
      <c r="E43" s="6">
        <f>SUMIFS(E$209:E$217,$A$209:$A$217,$A43)*(1-$D43)</f>
        <v>0</v>
      </c>
      <c r="F43" s="6">
        <f t="shared" ref="F43:P43" si="23">SUMIFS(F$209:F$217,$A$209:$A$217,$A43)*(1-$D43)</f>
        <v>0</v>
      </c>
      <c r="G43" s="6">
        <f t="shared" si="23"/>
        <v>0</v>
      </c>
      <c r="H43" s="6">
        <f t="shared" si="23"/>
        <v>0</v>
      </c>
      <c r="I43" s="6">
        <f t="shared" si="23"/>
        <v>0</v>
      </c>
      <c r="J43" s="6">
        <f t="shared" si="23"/>
        <v>0</v>
      </c>
      <c r="K43" s="6">
        <f t="shared" si="23"/>
        <v>0</v>
      </c>
      <c r="L43" s="6">
        <f t="shared" si="23"/>
        <v>0</v>
      </c>
      <c r="M43" s="6">
        <f t="shared" si="23"/>
        <v>0</v>
      </c>
      <c r="N43" s="6">
        <f t="shared" si="23"/>
        <v>0</v>
      </c>
      <c r="O43" s="6">
        <f t="shared" si="23"/>
        <v>0</v>
      </c>
      <c r="P43" s="6">
        <f t="shared" si="23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98"/>
      <c r="E44" s="6">
        <f>SUM(E42:E43)</f>
        <v>0</v>
      </c>
      <c r="F44" s="6">
        <f t="shared" ref="F44:P44" si="24">SUM(F42:F43)</f>
        <v>0</v>
      </c>
      <c r="G44" s="6">
        <f t="shared" si="24"/>
        <v>0</v>
      </c>
      <c r="H44" s="6">
        <f t="shared" si="24"/>
        <v>0</v>
      </c>
      <c r="I44" s="6">
        <f t="shared" si="24"/>
        <v>0</v>
      </c>
      <c r="J44" s="6">
        <f t="shared" si="24"/>
        <v>0</v>
      </c>
      <c r="K44" s="6">
        <f t="shared" si="24"/>
        <v>0</v>
      </c>
      <c r="L44" s="6">
        <f t="shared" si="24"/>
        <v>0</v>
      </c>
      <c r="M44" s="6">
        <f t="shared" si="24"/>
        <v>0</v>
      </c>
      <c r="N44" s="6">
        <f t="shared" si="24"/>
        <v>0</v>
      </c>
      <c r="O44" s="6">
        <f t="shared" si="24"/>
        <v>0</v>
      </c>
      <c r="P44" s="6">
        <f t="shared" si="24"/>
        <v>0</v>
      </c>
    </row>
    <row r="45" spans="1:16" s="2" customFormat="1" hidden="1" outlineLevel="2" x14ac:dyDescent="0.25">
      <c r="A45" s="195" t="s">
        <v>403</v>
      </c>
      <c r="B45" s="74" t="s">
        <v>382</v>
      </c>
      <c r="C45" s="30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305" t="s">
        <v>751</v>
      </c>
      <c r="D46" s="332">
        <v>1.125E-2</v>
      </c>
      <c r="E46" s="6">
        <f>SUMIFS(E$209:E$217,$A$209:$A$217,$A46)*(1-$D46)</f>
        <v>355950</v>
      </c>
      <c r="F46" s="6">
        <f t="shared" ref="F46:P46" si="26">SUMIFS(F$209:F$217,$A$209:$A$217,$A46)*(1-$D46)</f>
        <v>363069</v>
      </c>
      <c r="G46" s="6">
        <f t="shared" si="26"/>
        <v>370188</v>
      </c>
      <c r="H46" s="6">
        <f t="shared" si="26"/>
        <v>377307</v>
      </c>
      <c r="I46" s="6">
        <f t="shared" si="26"/>
        <v>384426.00000000006</v>
      </c>
      <c r="J46" s="6">
        <f t="shared" si="26"/>
        <v>391545</v>
      </c>
      <c r="K46" s="6">
        <f t="shared" si="26"/>
        <v>398664</v>
      </c>
      <c r="L46" s="6">
        <f t="shared" si="26"/>
        <v>405783.00000000012</v>
      </c>
      <c r="M46" s="6">
        <f t="shared" si="26"/>
        <v>412902</v>
      </c>
      <c r="N46" s="6">
        <f t="shared" si="26"/>
        <v>420021</v>
      </c>
      <c r="O46" s="6">
        <f t="shared" si="26"/>
        <v>427140</v>
      </c>
      <c r="P46" s="6">
        <f t="shared" si="26"/>
        <v>434259</v>
      </c>
    </row>
    <row r="47" spans="1:16" s="2" customFormat="1" hidden="1" outlineLevel="1" x14ac:dyDescent="0.25">
      <c r="A47" s="195">
        <v>6114</v>
      </c>
      <c r="B47" s="74" t="s">
        <v>406</v>
      </c>
      <c r="C47" s="198"/>
      <c r="D47" s="179"/>
      <c r="E47" s="6">
        <f>SUM(E45:E46)</f>
        <v>355950</v>
      </c>
      <c r="F47" s="6">
        <f t="shared" ref="F47:P47" si="27">SUM(F45:F46)</f>
        <v>363069</v>
      </c>
      <c r="G47" s="6">
        <f t="shared" si="27"/>
        <v>370188</v>
      </c>
      <c r="H47" s="6">
        <f t="shared" si="27"/>
        <v>377307</v>
      </c>
      <c r="I47" s="6">
        <f t="shared" si="27"/>
        <v>384426.00000000006</v>
      </c>
      <c r="J47" s="6">
        <f t="shared" si="27"/>
        <v>391545</v>
      </c>
      <c r="K47" s="6">
        <f t="shared" si="27"/>
        <v>398664</v>
      </c>
      <c r="L47" s="6">
        <f t="shared" si="27"/>
        <v>405783.00000000012</v>
      </c>
      <c r="M47" s="6">
        <f t="shared" si="27"/>
        <v>412902</v>
      </c>
      <c r="N47" s="6">
        <f t="shared" si="27"/>
        <v>420021</v>
      </c>
      <c r="O47" s="6">
        <f t="shared" si="27"/>
        <v>427140</v>
      </c>
      <c r="P47" s="6">
        <f t="shared" si="27"/>
        <v>434259</v>
      </c>
    </row>
    <row r="48" spans="1:16" s="2" customFormat="1" hidden="1" outlineLevel="2" x14ac:dyDescent="0.25">
      <c r="A48" s="195" t="s">
        <v>407</v>
      </c>
      <c r="B48" s="74" t="s">
        <v>377</v>
      </c>
      <c r="C48" s="305" t="s">
        <v>750</v>
      </c>
      <c r="D48" s="331">
        <v>1.144827</v>
      </c>
      <c r="E48" s="107">
        <f>IF(E$182=0,0,SUMIFS(E$209:E$217,$A$209:$A$217,$A48))*$D48</f>
        <v>206068.86000000002</v>
      </c>
      <c r="F48" s="107">
        <f t="shared" ref="F48:P48" si="28">IF(F$182=0,0,SUMIFS(F$209:F$217,$A$209:$A$217,$A48))*$D48</f>
        <v>210190.2372</v>
      </c>
      <c r="G48" s="107">
        <f t="shared" si="28"/>
        <v>214311.61440000002</v>
      </c>
      <c r="H48" s="107">
        <f t="shared" si="28"/>
        <v>218432.99160000001</v>
      </c>
      <c r="I48" s="107">
        <f t="shared" si="28"/>
        <v>222554.3688</v>
      </c>
      <c r="J48" s="107">
        <f t="shared" si="28"/>
        <v>226675.74600000001</v>
      </c>
      <c r="K48" s="107">
        <f t="shared" si="28"/>
        <v>230797.1232</v>
      </c>
      <c r="L48" s="107">
        <f t="shared" si="28"/>
        <v>234918.50040000005</v>
      </c>
      <c r="M48" s="107">
        <f t="shared" si="28"/>
        <v>239039.87760000001</v>
      </c>
      <c r="N48" s="107">
        <f t="shared" si="28"/>
        <v>243161.2548</v>
      </c>
      <c r="O48" s="107">
        <f t="shared" si="28"/>
        <v>247282.63200000001</v>
      </c>
      <c r="P48" s="107">
        <f t="shared" si="28"/>
        <v>251404.0092</v>
      </c>
    </row>
    <row r="49" spans="1:16" s="2" customFormat="1" hidden="1" outlineLevel="2" x14ac:dyDescent="0.25">
      <c r="A49" s="195" t="s">
        <v>408</v>
      </c>
      <c r="B49" s="74" t="s">
        <v>377</v>
      </c>
      <c r="C49" s="305" t="s">
        <v>751</v>
      </c>
      <c r="D49" s="332">
        <v>1.125E-2</v>
      </c>
      <c r="E49" s="6">
        <f>SUMIFS(E$209:E$217,$A$209:$A$217,$A49)*(1-$D49)</f>
        <v>118650</v>
      </c>
      <c r="F49" s="6">
        <f t="shared" ref="F49:P49" si="29">SUMIFS(F$209:F$217,$A$209:$A$217,$A49)*(1-$D49)</f>
        <v>121023</v>
      </c>
      <c r="G49" s="6">
        <f t="shared" si="29"/>
        <v>123396</v>
      </c>
      <c r="H49" s="6">
        <f t="shared" si="29"/>
        <v>125769</v>
      </c>
      <c r="I49" s="6">
        <f t="shared" si="29"/>
        <v>128142.00000000001</v>
      </c>
      <c r="J49" s="6">
        <f t="shared" si="29"/>
        <v>130515</v>
      </c>
      <c r="K49" s="6">
        <f t="shared" si="29"/>
        <v>132888</v>
      </c>
      <c r="L49" s="6">
        <f t="shared" si="29"/>
        <v>135261.00000000003</v>
      </c>
      <c r="M49" s="6">
        <f t="shared" si="29"/>
        <v>137634</v>
      </c>
      <c r="N49" s="6">
        <f t="shared" si="29"/>
        <v>140007</v>
      </c>
      <c r="O49" s="6">
        <f t="shared" si="29"/>
        <v>142380</v>
      </c>
      <c r="P49" s="6">
        <f t="shared" si="29"/>
        <v>144753</v>
      </c>
    </row>
    <row r="50" spans="1:16" s="2" customFormat="1" hidden="1" outlineLevel="1" x14ac:dyDescent="0.25">
      <c r="A50" s="195">
        <v>6117</v>
      </c>
      <c r="B50" s="74" t="s">
        <v>409</v>
      </c>
      <c r="C50" s="198"/>
      <c r="E50" s="6">
        <f>SUM(E48:E49)</f>
        <v>324718.86</v>
      </c>
      <c r="F50" s="6">
        <f t="shared" ref="F50:P50" si="30">SUM(F48:F49)</f>
        <v>331213.23719999997</v>
      </c>
      <c r="G50" s="6">
        <f t="shared" si="30"/>
        <v>337707.61440000002</v>
      </c>
      <c r="H50" s="6">
        <f t="shared" si="30"/>
        <v>344201.99160000001</v>
      </c>
      <c r="I50" s="6">
        <f t="shared" si="30"/>
        <v>350696.3688</v>
      </c>
      <c r="J50" s="6">
        <f t="shared" si="30"/>
        <v>357190.74600000004</v>
      </c>
      <c r="K50" s="6">
        <f t="shared" si="30"/>
        <v>363685.12320000003</v>
      </c>
      <c r="L50" s="6">
        <f t="shared" si="30"/>
        <v>370179.50040000008</v>
      </c>
      <c r="M50" s="6">
        <f t="shared" si="30"/>
        <v>376673.87760000001</v>
      </c>
      <c r="N50" s="6">
        <f t="shared" si="30"/>
        <v>383168.2548</v>
      </c>
      <c r="O50" s="6">
        <f t="shared" si="30"/>
        <v>389662.63199999998</v>
      </c>
      <c r="P50" s="6">
        <f t="shared" si="30"/>
        <v>396157.00919999997</v>
      </c>
    </row>
    <row r="51" spans="1:16" s="2" customFormat="1" hidden="1" outlineLevel="1" x14ac:dyDescent="0.25">
      <c r="A51" s="62">
        <v>6127</v>
      </c>
      <c r="B51" s="18" t="s">
        <v>373</v>
      </c>
      <c r="C51" s="198"/>
      <c r="D51" s="179"/>
      <c r="E51" s="6">
        <f>SUMIFS(E$209:E$217,$A$209:$A$217,$A51)</f>
        <v>0</v>
      </c>
      <c r="F51" s="6">
        <f t="shared" ref="F51:P51" si="31">SUMIFS(F$209:F$217,$A$209:$A$217,$A51)</f>
        <v>0</v>
      </c>
      <c r="G51" s="6">
        <f t="shared" si="31"/>
        <v>0</v>
      </c>
      <c r="H51" s="6">
        <f t="shared" si="31"/>
        <v>0</v>
      </c>
      <c r="I51" s="6">
        <f t="shared" si="31"/>
        <v>0</v>
      </c>
      <c r="J51" s="6">
        <f t="shared" si="31"/>
        <v>0</v>
      </c>
      <c r="K51" s="6">
        <f t="shared" si="31"/>
        <v>0</v>
      </c>
      <c r="L51" s="6">
        <f t="shared" si="31"/>
        <v>0</v>
      </c>
      <c r="M51" s="6">
        <f t="shared" si="31"/>
        <v>0</v>
      </c>
      <c r="N51" s="6">
        <f t="shared" si="31"/>
        <v>0</v>
      </c>
      <c r="O51" s="6">
        <f t="shared" si="31"/>
        <v>0</v>
      </c>
      <c r="P51" s="6">
        <f t="shared" si="31"/>
        <v>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639</v>
      </c>
      <c r="D52" s="85">
        <v>0</v>
      </c>
      <c r="E52" s="107">
        <f t="shared" ref="E52:P52" si="32">(SUMIFS(E$188:E$196,$A$188:$A$196,$A42)+SUMIFS(E$188:E$196,$A$188:$A$196,$A43))*($D$52*(1+E$5))</f>
        <v>0</v>
      </c>
      <c r="F52" s="107">
        <f t="shared" si="32"/>
        <v>0</v>
      </c>
      <c r="G52" s="107">
        <f t="shared" si="32"/>
        <v>0</v>
      </c>
      <c r="H52" s="107">
        <f t="shared" si="32"/>
        <v>0</v>
      </c>
      <c r="I52" s="107">
        <f t="shared" si="32"/>
        <v>0</v>
      </c>
      <c r="J52" s="107">
        <f t="shared" si="32"/>
        <v>0</v>
      </c>
      <c r="K52" s="107">
        <f t="shared" si="32"/>
        <v>0</v>
      </c>
      <c r="L52" s="107">
        <f t="shared" si="32"/>
        <v>0</v>
      </c>
      <c r="M52" s="107">
        <f t="shared" si="32"/>
        <v>0</v>
      </c>
      <c r="N52" s="107">
        <f t="shared" si="32"/>
        <v>0</v>
      </c>
      <c r="O52" s="107">
        <f t="shared" si="32"/>
        <v>0</v>
      </c>
      <c r="P52" s="107">
        <f t="shared" si="32"/>
        <v>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639</v>
      </c>
      <c r="D53" s="85">
        <v>8000</v>
      </c>
      <c r="E53" s="107">
        <f t="shared" ref="E53:P53" si="33">SUMIFS(E$188:E$196,$A$188:$A$196,$A45)+SUMIFS(E$188:E$196,$A$188:$A$196,$A46)*($D$53*(1+E$5))</f>
        <v>24000</v>
      </c>
      <c r="F53" s="107">
        <f t="shared" si="33"/>
        <v>24480</v>
      </c>
      <c r="G53" s="107">
        <f t="shared" si="33"/>
        <v>24960</v>
      </c>
      <c r="H53" s="107">
        <f t="shared" si="33"/>
        <v>25440</v>
      </c>
      <c r="I53" s="107">
        <f t="shared" si="33"/>
        <v>25920</v>
      </c>
      <c r="J53" s="107">
        <f t="shared" si="33"/>
        <v>26400</v>
      </c>
      <c r="K53" s="107">
        <f t="shared" si="33"/>
        <v>26880</v>
      </c>
      <c r="L53" s="107">
        <f t="shared" si="33"/>
        <v>27360.000000000007</v>
      </c>
      <c r="M53" s="107">
        <f t="shared" si="33"/>
        <v>27840</v>
      </c>
      <c r="N53" s="107">
        <f t="shared" si="33"/>
        <v>28320</v>
      </c>
      <c r="O53" s="107">
        <f t="shared" si="33"/>
        <v>28800</v>
      </c>
      <c r="P53" s="107">
        <f t="shared" si="33"/>
        <v>29280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639</v>
      </c>
      <c r="D54" s="85">
        <v>8000</v>
      </c>
      <c r="E54" s="32">
        <f t="shared" ref="E54:P54" si="34">(SUMIFS(E$188:E$196,$A$188:$A$196,$A48)+SUMIFS(E$188:E$196,$A$188:$A$196,$A49))*($D$54*(1+E$5))</f>
        <v>40000</v>
      </c>
      <c r="F54" s="32">
        <f t="shared" si="34"/>
        <v>40800</v>
      </c>
      <c r="G54" s="32">
        <f t="shared" si="34"/>
        <v>41600</v>
      </c>
      <c r="H54" s="32">
        <f t="shared" si="34"/>
        <v>42400</v>
      </c>
      <c r="I54" s="32">
        <f t="shared" si="34"/>
        <v>43200</v>
      </c>
      <c r="J54" s="32">
        <f t="shared" si="34"/>
        <v>44000</v>
      </c>
      <c r="K54" s="32">
        <f t="shared" si="34"/>
        <v>44800</v>
      </c>
      <c r="L54" s="32">
        <f t="shared" si="34"/>
        <v>45600.000000000007</v>
      </c>
      <c r="M54" s="32">
        <f t="shared" si="34"/>
        <v>46400</v>
      </c>
      <c r="N54" s="32">
        <f t="shared" si="34"/>
        <v>47200</v>
      </c>
      <c r="O54" s="32">
        <f t="shared" si="34"/>
        <v>48000</v>
      </c>
      <c r="P54" s="32">
        <f t="shared" si="34"/>
        <v>48800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6">
        <f>E54+E53+E52+E51+E50+E47+E44</f>
        <v>744668.86</v>
      </c>
      <c r="F55" s="6">
        <f t="shared" ref="F55:P55" si="35">F54+F53+F52+F51+F50+F47+F44</f>
        <v>759562.23719999997</v>
      </c>
      <c r="G55" s="6">
        <f t="shared" si="35"/>
        <v>774455.61440000008</v>
      </c>
      <c r="H55" s="6">
        <f t="shared" si="35"/>
        <v>789348.99160000007</v>
      </c>
      <c r="I55" s="6">
        <f t="shared" si="35"/>
        <v>804242.36880000005</v>
      </c>
      <c r="J55" s="6">
        <f t="shared" si="35"/>
        <v>819135.74600000004</v>
      </c>
      <c r="K55" s="6">
        <f t="shared" si="35"/>
        <v>834029.12320000003</v>
      </c>
      <c r="L55" s="6">
        <f t="shared" si="35"/>
        <v>848922.50040000025</v>
      </c>
      <c r="M55" s="6">
        <f t="shared" si="35"/>
        <v>863815.87760000001</v>
      </c>
      <c r="N55" s="6">
        <f t="shared" si="35"/>
        <v>878709.2548</v>
      </c>
      <c r="O55" s="6">
        <f t="shared" si="35"/>
        <v>893602.63199999998</v>
      </c>
      <c r="P55" s="6">
        <f t="shared" si="35"/>
        <v>908496.00919999997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6">
        <f>SUMIFS(E$42:E$54,$A$42:$A$54,6111)*$D56</f>
        <v>0</v>
      </c>
      <c r="F56" s="6">
        <f t="shared" ref="F56:P56" si="36">SUMIFS(F$42:F$54,$A$42:$A$54,6111)*$D56</f>
        <v>0</v>
      </c>
      <c r="G56" s="6">
        <f t="shared" si="36"/>
        <v>0</v>
      </c>
      <c r="H56" s="6">
        <f t="shared" si="36"/>
        <v>0</v>
      </c>
      <c r="I56" s="6">
        <f t="shared" si="36"/>
        <v>0</v>
      </c>
      <c r="J56" s="6">
        <f t="shared" si="36"/>
        <v>0</v>
      </c>
      <c r="K56" s="6">
        <f t="shared" si="36"/>
        <v>0</v>
      </c>
      <c r="L56" s="6">
        <f t="shared" si="36"/>
        <v>0</v>
      </c>
      <c r="M56" s="6">
        <f t="shared" si="36"/>
        <v>0</v>
      </c>
      <c r="N56" s="6">
        <f t="shared" si="36"/>
        <v>0</v>
      </c>
      <c r="O56" s="6">
        <f t="shared" si="36"/>
        <v>0</v>
      </c>
      <c r="P56" s="6">
        <f t="shared" si="36"/>
        <v>0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6">
        <f>SUMIFS(E$42:E$54,$A$42:$A$54,6114)*$D57</f>
        <v>1957.7249999999999</v>
      </c>
      <c r="F57" s="6">
        <f t="shared" ref="F57:P57" si="37">SUMIFS(F$42:F$54,$A$42:$A$54,6114)*$D57</f>
        <v>1996.8794999999998</v>
      </c>
      <c r="G57" s="6">
        <f t="shared" si="37"/>
        <v>2036.0339999999999</v>
      </c>
      <c r="H57" s="6">
        <f t="shared" si="37"/>
        <v>2075.1884999999997</v>
      </c>
      <c r="I57" s="6">
        <f t="shared" si="37"/>
        <v>2114.3430000000003</v>
      </c>
      <c r="J57" s="6">
        <f t="shared" si="37"/>
        <v>2153.4974999999999</v>
      </c>
      <c r="K57" s="6">
        <f t="shared" si="37"/>
        <v>2192.652</v>
      </c>
      <c r="L57" s="6">
        <f t="shared" si="37"/>
        <v>2231.8065000000006</v>
      </c>
      <c r="M57" s="6">
        <f t="shared" si="37"/>
        <v>2270.9609999999998</v>
      </c>
      <c r="N57" s="6">
        <f t="shared" si="37"/>
        <v>2310.1154999999999</v>
      </c>
      <c r="O57" s="6">
        <f t="shared" si="37"/>
        <v>2349.27</v>
      </c>
      <c r="P57" s="6">
        <f t="shared" si="37"/>
        <v>2388.4245000000001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(SUMIFS(E$42:E$54,$A$42:$A$54,6117)+SUMIFS(E$42:E$54,$A$42:$A$54,6117))*$D58</f>
        <v>3571.9074599999994</v>
      </c>
      <c r="F58" s="6">
        <f t="shared" ref="F58:P58" si="38">(SUMIFS(F$42:F$54,$A$42:$A$54,6117)+SUMIFS(F$42:F$54,$A$42:$A$54,6117))*$D58</f>
        <v>3643.3456091999997</v>
      </c>
      <c r="G58" s="6">
        <f t="shared" si="38"/>
        <v>3714.7837583999999</v>
      </c>
      <c r="H58" s="6">
        <f t="shared" si="38"/>
        <v>3786.2219075999997</v>
      </c>
      <c r="I58" s="6">
        <f t="shared" si="38"/>
        <v>3857.6600567999999</v>
      </c>
      <c r="J58" s="6">
        <f t="shared" si="38"/>
        <v>3929.0982060000001</v>
      </c>
      <c r="K58" s="6">
        <f t="shared" si="38"/>
        <v>4000.5363551999999</v>
      </c>
      <c r="L58" s="6">
        <f t="shared" si="38"/>
        <v>4071.9745044000006</v>
      </c>
      <c r="M58" s="6">
        <f t="shared" si="38"/>
        <v>4143.4126535999994</v>
      </c>
      <c r="N58" s="6">
        <f t="shared" si="38"/>
        <v>4214.8508027999997</v>
      </c>
      <c r="O58" s="6">
        <f t="shared" si="38"/>
        <v>4286.2889519999999</v>
      </c>
      <c r="P58" s="6">
        <f t="shared" si="38"/>
        <v>4357.7271011999992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SUMIFS(E$42:E$54,$A$42:$A$54,6127)*$D59</f>
        <v>0</v>
      </c>
      <c r="F59" s="6">
        <f t="shared" ref="F59:P59" si="39">SUMIFS(F$42:F$54,$A$42:$A$54,6127)*$D59</f>
        <v>0</v>
      </c>
      <c r="G59" s="6">
        <f t="shared" si="39"/>
        <v>0</v>
      </c>
      <c r="H59" s="6">
        <f t="shared" si="39"/>
        <v>0</v>
      </c>
      <c r="I59" s="6">
        <f t="shared" si="39"/>
        <v>0</v>
      </c>
      <c r="J59" s="6">
        <f t="shared" si="39"/>
        <v>0</v>
      </c>
      <c r="K59" s="6">
        <f t="shared" si="39"/>
        <v>0</v>
      </c>
      <c r="L59" s="6">
        <f t="shared" si="39"/>
        <v>0</v>
      </c>
      <c r="M59" s="6">
        <f t="shared" si="39"/>
        <v>0</v>
      </c>
      <c r="N59" s="6">
        <f t="shared" si="39"/>
        <v>0</v>
      </c>
      <c r="O59" s="6">
        <f t="shared" si="39"/>
        <v>0</v>
      </c>
      <c r="P59" s="6">
        <f t="shared" si="39"/>
        <v>0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SUMIFS(E$42:E$54,$A$42:$A$54,$A42)*($D60*(1+E$6))</f>
        <v>0</v>
      </c>
      <c r="F60" s="6">
        <f t="shared" si="40"/>
        <v>0</v>
      </c>
      <c r="G60" s="6">
        <f t="shared" si="40"/>
        <v>0</v>
      </c>
      <c r="H60" s="6">
        <f t="shared" si="40"/>
        <v>0</v>
      </c>
      <c r="I60" s="6">
        <f t="shared" si="40"/>
        <v>0</v>
      </c>
      <c r="J60" s="6">
        <f t="shared" si="40"/>
        <v>0</v>
      </c>
      <c r="K60" s="6">
        <f t="shared" si="40"/>
        <v>0</v>
      </c>
      <c r="L60" s="6">
        <f t="shared" si="40"/>
        <v>0</v>
      </c>
      <c r="M60" s="6">
        <f t="shared" si="40"/>
        <v>0</v>
      </c>
      <c r="N60" s="6">
        <f t="shared" si="40"/>
        <v>0</v>
      </c>
      <c r="O60" s="6">
        <f t="shared" si="40"/>
        <v>0</v>
      </c>
      <c r="P60" s="6">
        <f t="shared" si="40"/>
        <v>0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SUMIFS(E$42:E$54,$A$42:$A$54,$A43)*($D61*(1+E$6))</f>
        <v>0</v>
      </c>
      <c r="F61" s="6">
        <f t="shared" si="41"/>
        <v>0</v>
      </c>
      <c r="G61" s="6">
        <f t="shared" si="41"/>
        <v>0</v>
      </c>
      <c r="H61" s="6">
        <f t="shared" si="41"/>
        <v>0</v>
      </c>
      <c r="I61" s="6">
        <f t="shared" si="41"/>
        <v>0</v>
      </c>
      <c r="J61" s="6">
        <f t="shared" si="41"/>
        <v>0</v>
      </c>
      <c r="K61" s="6">
        <f t="shared" si="41"/>
        <v>0</v>
      </c>
      <c r="L61" s="6">
        <f t="shared" si="41"/>
        <v>0</v>
      </c>
      <c r="M61" s="6">
        <f t="shared" si="41"/>
        <v>0</v>
      </c>
      <c r="N61" s="6">
        <f t="shared" si="41"/>
        <v>0</v>
      </c>
      <c r="O61" s="6">
        <f t="shared" si="41"/>
        <v>0</v>
      </c>
      <c r="P61" s="6">
        <f t="shared" si="41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0</v>
      </c>
      <c r="F62" s="6">
        <f t="shared" ref="F62:P62" si="42">SUM(F60:F61)</f>
        <v>0</v>
      </c>
      <c r="G62" s="6">
        <f t="shared" si="42"/>
        <v>0</v>
      </c>
      <c r="H62" s="6">
        <f t="shared" si="42"/>
        <v>0</v>
      </c>
      <c r="I62" s="6">
        <f t="shared" si="42"/>
        <v>0</v>
      </c>
      <c r="J62" s="6">
        <f t="shared" si="42"/>
        <v>0</v>
      </c>
      <c r="K62" s="6">
        <f t="shared" si="42"/>
        <v>0</v>
      </c>
      <c r="L62" s="6">
        <f t="shared" si="42"/>
        <v>0</v>
      </c>
      <c r="M62" s="6">
        <f t="shared" si="42"/>
        <v>0</v>
      </c>
      <c r="N62" s="6">
        <f t="shared" si="42"/>
        <v>0</v>
      </c>
      <c r="O62" s="6">
        <f t="shared" si="42"/>
        <v>0</v>
      </c>
      <c r="P62" s="6">
        <f t="shared" si="42"/>
        <v>0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>SUMIFS(E$42:E$54,$A$42:$A$54,$A45)*($D63*(1+E$6))</f>
        <v>0</v>
      </c>
      <c r="F63" s="6">
        <f t="shared" ref="F63:P63" si="43">SUMIFS(F$42:F$54,$A$42:$A$54,$A45)*($D63*(1+F$6))</f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6"/>
      <c r="D64" s="95">
        <v>0.28000000000000003</v>
      </c>
      <c r="E64" s="6">
        <f>SUMIFS(E$42:E$54,$A$42:$A$54,$A46)*($D64*(1+E$6))</f>
        <v>99666.000000000015</v>
      </c>
      <c r="F64" s="6">
        <f t="shared" ref="F64:P64" si="44">SUMIFS(F$42:F$54,$A$42:$A$54,$A46)*($D64*(1+F$6))</f>
        <v>102421.76490000001</v>
      </c>
      <c r="G64" s="6">
        <f t="shared" si="44"/>
        <v>104430.03480000001</v>
      </c>
      <c r="H64" s="6">
        <f t="shared" si="44"/>
        <v>106438.30470000001</v>
      </c>
      <c r="I64" s="6">
        <f t="shared" si="44"/>
        <v>108446.57460000002</v>
      </c>
      <c r="J64" s="6">
        <f t="shared" si="44"/>
        <v>110454.84450000001</v>
      </c>
      <c r="K64" s="6">
        <f t="shared" si="44"/>
        <v>112463.11440000001</v>
      </c>
      <c r="L64" s="6">
        <f t="shared" si="44"/>
        <v>114471.38430000003</v>
      </c>
      <c r="M64" s="6">
        <f t="shared" si="44"/>
        <v>116479.6542</v>
      </c>
      <c r="N64" s="6">
        <f t="shared" si="44"/>
        <v>118487.9241</v>
      </c>
      <c r="O64" s="6">
        <f t="shared" si="44"/>
        <v>120496.194</v>
      </c>
      <c r="P64" s="6">
        <f t="shared" si="44"/>
        <v>122504.4639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>SUM(E63:E64)</f>
        <v>99666.000000000015</v>
      </c>
      <c r="F65" s="6">
        <f t="shared" ref="F65:P65" si="45">SUM(F63:F64)</f>
        <v>102421.76490000001</v>
      </c>
      <c r="G65" s="6">
        <f t="shared" si="45"/>
        <v>104430.03480000001</v>
      </c>
      <c r="H65" s="6">
        <f t="shared" si="45"/>
        <v>106438.30470000001</v>
      </c>
      <c r="I65" s="6">
        <f t="shared" si="45"/>
        <v>108446.57460000002</v>
      </c>
      <c r="J65" s="6">
        <f t="shared" si="45"/>
        <v>110454.84450000001</v>
      </c>
      <c r="K65" s="6">
        <f t="shared" si="45"/>
        <v>112463.11440000001</v>
      </c>
      <c r="L65" s="6">
        <f t="shared" si="45"/>
        <v>114471.38430000003</v>
      </c>
      <c r="M65" s="6">
        <f t="shared" si="45"/>
        <v>116479.6542</v>
      </c>
      <c r="N65" s="6">
        <f t="shared" si="45"/>
        <v>118487.9241</v>
      </c>
      <c r="O65" s="6">
        <f t="shared" si="45"/>
        <v>120496.194</v>
      </c>
      <c r="P65" s="6">
        <f t="shared" si="45"/>
        <v>122504.4639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>SUMIFS(E$42:E$54,$A$42:$A$54,$A48)*($D66*(1+E$6))</f>
        <v>29879.984700000001</v>
      </c>
      <c r="F66" s="6">
        <f t="shared" ref="F66:P66" si="46">SUMIFS(F$42:F$54,$A$42:$A$54,$A48)*($D66*(1+F$6))</f>
        <v>30706.166276955002</v>
      </c>
      <c r="G66" s="6">
        <f t="shared" si="46"/>
        <v>31308.247968660005</v>
      </c>
      <c r="H66" s="6">
        <f t="shared" si="46"/>
        <v>31910.329660365001</v>
      </c>
      <c r="I66" s="6">
        <f t="shared" si="46"/>
        <v>32512.411352070001</v>
      </c>
      <c r="J66" s="6">
        <f t="shared" si="46"/>
        <v>33114.493043775001</v>
      </c>
      <c r="K66" s="6">
        <f t="shared" si="46"/>
        <v>33716.574735480004</v>
      </c>
      <c r="L66" s="6">
        <f t="shared" si="46"/>
        <v>34318.656427185007</v>
      </c>
      <c r="M66" s="6">
        <f t="shared" si="46"/>
        <v>34920.738118890004</v>
      </c>
      <c r="N66" s="6">
        <f t="shared" si="46"/>
        <v>35522.819810595</v>
      </c>
      <c r="O66" s="6">
        <f t="shared" si="46"/>
        <v>36124.901502300003</v>
      </c>
      <c r="P66" s="6">
        <f t="shared" si="46"/>
        <v>36726.983194004999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>SUMIFS(E$42:E$54,$A$42:$A$54,$A49)*($D67*(1+E$6))</f>
        <v>33222</v>
      </c>
      <c r="F67" s="6">
        <f t="shared" ref="F67:P67" si="47">SUMIFS(F$42:F$54,$A$42:$A$54,$A49)*($D67*(1+F$6))</f>
        <v>34140.588300000003</v>
      </c>
      <c r="G67" s="6">
        <f t="shared" si="47"/>
        <v>34810.011600000005</v>
      </c>
      <c r="H67" s="6">
        <f t="shared" si="47"/>
        <v>35479.4349</v>
      </c>
      <c r="I67" s="6">
        <f t="shared" si="47"/>
        <v>36148.85820000001</v>
      </c>
      <c r="J67" s="6">
        <f t="shared" si="47"/>
        <v>36818.281500000005</v>
      </c>
      <c r="K67" s="6">
        <f t="shared" si="47"/>
        <v>37487.7048</v>
      </c>
      <c r="L67" s="6">
        <f t="shared" si="47"/>
        <v>38157.128100000009</v>
      </c>
      <c r="M67" s="6">
        <f t="shared" si="47"/>
        <v>38826.551400000004</v>
      </c>
      <c r="N67" s="6">
        <f t="shared" si="47"/>
        <v>39495.974699999999</v>
      </c>
      <c r="O67" s="6">
        <f t="shared" si="47"/>
        <v>40165.398000000001</v>
      </c>
      <c r="P67" s="6">
        <f t="shared" si="47"/>
        <v>40834.821300000003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63101.984700000001</v>
      </c>
      <c r="F68" s="6">
        <f t="shared" ref="F68:P68" si="48">SUM(F66:F67)</f>
        <v>64846.754576955005</v>
      </c>
      <c r="G68" s="6">
        <f t="shared" si="48"/>
        <v>66118.259568660011</v>
      </c>
      <c r="H68" s="6">
        <f t="shared" si="48"/>
        <v>67389.764560365002</v>
      </c>
      <c r="I68" s="6">
        <f t="shared" si="48"/>
        <v>68661.269552070007</v>
      </c>
      <c r="J68" s="6">
        <f t="shared" si="48"/>
        <v>69932.774543775013</v>
      </c>
      <c r="K68" s="6">
        <f t="shared" si="48"/>
        <v>71204.279535480004</v>
      </c>
      <c r="L68" s="6">
        <f t="shared" si="48"/>
        <v>72475.784527185024</v>
      </c>
      <c r="M68" s="6">
        <f t="shared" si="48"/>
        <v>73747.28951889</v>
      </c>
      <c r="N68" s="6">
        <f t="shared" si="48"/>
        <v>75018.794510595006</v>
      </c>
      <c r="O68" s="6">
        <f t="shared" si="48"/>
        <v>76290.299502300011</v>
      </c>
      <c r="P68" s="6">
        <f t="shared" si="48"/>
        <v>77561.804494005002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SUMIFS(E$42:E$54,$A$42:$A$54,$A44)*$D69</f>
        <v>0</v>
      </c>
      <c r="F69" s="6">
        <f t="shared" ref="F69:P69" si="49">SUMIFS(F$42:F$54,$A$42:$A$54,$A44)*$D69</f>
        <v>0</v>
      </c>
      <c r="G69" s="6">
        <f t="shared" si="49"/>
        <v>0</v>
      </c>
      <c r="H69" s="6">
        <f t="shared" si="49"/>
        <v>0</v>
      </c>
      <c r="I69" s="6">
        <f t="shared" si="49"/>
        <v>0</v>
      </c>
      <c r="J69" s="6">
        <f t="shared" si="49"/>
        <v>0</v>
      </c>
      <c r="K69" s="6">
        <f t="shared" si="49"/>
        <v>0</v>
      </c>
      <c r="L69" s="6">
        <f t="shared" si="49"/>
        <v>0</v>
      </c>
      <c r="M69" s="6">
        <f t="shared" si="49"/>
        <v>0</v>
      </c>
      <c r="N69" s="6">
        <f t="shared" si="49"/>
        <v>0</v>
      </c>
      <c r="O69" s="6">
        <f t="shared" si="49"/>
        <v>0</v>
      </c>
      <c r="P69" s="6">
        <f t="shared" si="49"/>
        <v>0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SUMIFS(E$42:E$54,$A$42:$A$54,$A47)*$D70</f>
        <v>5161.2750000000005</v>
      </c>
      <c r="F70" s="6">
        <f t="shared" ref="F70:P70" si="50">SUMIFS(F$42:F$54,$A$42:$A$54,$A47)*$D70</f>
        <v>5264.5005000000001</v>
      </c>
      <c r="G70" s="6">
        <f t="shared" si="50"/>
        <v>5367.7260000000006</v>
      </c>
      <c r="H70" s="6">
        <f t="shared" si="50"/>
        <v>5470.9515000000001</v>
      </c>
      <c r="I70" s="6">
        <f t="shared" si="50"/>
        <v>5574.1770000000015</v>
      </c>
      <c r="J70" s="6">
        <f t="shared" si="50"/>
        <v>5677.4025000000001</v>
      </c>
      <c r="K70" s="6">
        <f t="shared" si="50"/>
        <v>5780.6280000000006</v>
      </c>
      <c r="L70" s="6">
        <f t="shared" si="50"/>
        <v>5883.853500000002</v>
      </c>
      <c r="M70" s="6">
        <f t="shared" si="50"/>
        <v>5987.0790000000006</v>
      </c>
      <c r="N70" s="6">
        <f t="shared" si="50"/>
        <v>6090.3045000000002</v>
      </c>
      <c r="O70" s="6">
        <f t="shared" si="50"/>
        <v>6193.5300000000007</v>
      </c>
      <c r="P70" s="6">
        <f t="shared" si="50"/>
        <v>6296.7555000000002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((SUMIFS(E$42:E$54,$A$42:$A$54,$A50))+(SUMIFS(E$42:E$54,$A$42:$A$54,$A51)))*$D71</f>
        <v>4708.4234699999997</v>
      </c>
      <c r="F71" s="6">
        <f t="shared" ref="F71:P71" si="51">((SUMIFS(F$42:F$54,$A$42:$A$54,$A50))+(SUMIFS(F$42:F$54,$A$42:$A$54,$A51)))*$D71</f>
        <v>4802.5919394000002</v>
      </c>
      <c r="G71" s="6">
        <f t="shared" si="51"/>
        <v>4896.7604088000007</v>
      </c>
      <c r="H71" s="6">
        <f t="shared" si="51"/>
        <v>4990.9288782000003</v>
      </c>
      <c r="I71" s="6">
        <f t="shared" si="51"/>
        <v>5085.0973475999999</v>
      </c>
      <c r="J71" s="6">
        <f t="shared" si="51"/>
        <v>5179.2658170000013</v>
      </c>
      <c r="K71" s="6">
        <f t="shared" si="51"/>
        <v>5273.4342864000009</v>
      </c>
      <c r="L71" s="6">
        <f t="shared" si="51"/>
        <v>5367.6027558000014</v>
      </c>
      <c r="M71" s="6">
        <f t="shared" si="51"/>
        <v>5461.7712252000001</v>
      </c>
      <c r="N71" s="6">
        <f t="shared" si="51"/>
        <v>5555.9396946000006</v>
      </c>
      <c r="O71" s="6">
        <f t="shared" si="51"/>
        <v>5650.1081640000002</v>
      </c>
      <c r="P71" s="6">
        <f t="shared" si="51"/>
        <v>5744.2766333999998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SUMIFS(E$42:E$54,$A$42:$A$54,$A44)*$D72</f>
        <v>0</v>
      </c>
      <c r="F72" s="6">
        <f t="shared" ref="F72:P72" si="52">SUMIFS(F$42:F$54,$A$42:$A$54,$A44)*$D72</f>
        <v>0</v>
      </c>
      <c r="G72" s="6">
        <f t="shared" si="52"/>
        <v>0</v>
      </c>
      <c r="H72" s="6">
        <f t="shared" si="52"/>
        <v>0</v>
      </c>
      <c r="I72" s="6">
        <f t="shared" si="52"/>
        <v>0</v>
      </c>
      <c r="J72" s="6">
        <f t="shared" si="52"/>
        <v>0</v>
      </c>
      <c r="K72" s="6">
        <f t="shared" si="52"/>
        <v>0</v>
      </c>
      <c r="L72" s="6">
        <f t="shared" si="52"/>
        <v>0</v>
      </c>
      <c r="M72" s="6">
        <f t="shared" si="52"/>
        <v>0</v>
      </c>
      <c r="N72" s="6">
        <f t="shared" si="52"/>
        <v>0</v>
      </c>
      <c r="O72" s="6">
        <f t="shared" si="52"/>
        <v>0</v>
      </c>
      <c r="P72" s="6">
        <f t="shared" si="52"/>
        <v>0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SUMIFS(E$42:E$54,$A$42:$A$54,$A47)*$D73</f>
        <v>3559.5</v>
      </c>
      <c r="F73" s="6">
        <f t="shared" ref="F73:P73" si="53">SUMIFS(F$42:F$54,$A$42:$A$54,$A47)*$D73</f>
        <v>3630.69</v>
      </c>
      <c r="G73" s="6">
        <f t="shared" si="53"/>
        <v>3701.88</v>
      </c>
      <c r="H73" s="6">
        <f t="shared" si="53"/>
        <v>3773.07</v>
      </c>
      <c r="I73" s="6">
        <f t="shared" si="53"/>
        <v>3844.2600000000007</v>
      </c>
      <c r="J73" s="6">
        <f t="shared" si="53"/>
        <v>3915.4500000000003</v>
      </c>
      <c r="K73" s="6">
        <f t="shared" si="53"/>
        <v>3986.64</v>
      </c>
      <c r="L73" s="6">
        <f t="shared" si="53"/>
        <v>4057.8300000000013</v>
      </c>
      <c r="M73" s="6">
        <f t="shared" si="53"/>
        <v>4129.0200000000004</v>
      </c>
      <c r="N73" s="6">
        <f t="shared" si="53"/>
        <v>4200.21</v>
      </c>
      <c r="O73" s="6">
        <f t="shared" si="53"/>
        <v>4271.3999999999996</v>
      </c>
      <c r="P73" s="6">
        <f t="shared" si="53"/>
        <v>4342.59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((SUMIFS(E$42:E$54,$A$42:$A$54,$A50))+(SUMIFS(E$42:E$54,$A$42:$A$54,$A51)))*$D74</f>
        <v>3247.1886</v>
      </c>
      <c r="F74" s="6">
        <f t="shared" ref="F74:P74" si="54">((SUMIFS(F$42:F$54,$A$42:$A$54,$A50))+(SUMIFS(F$42:F$54,$A$42:$A$54,$A51)))*$D74</f>
        <v>3312.132372</v>
      </c>
      <c r="G74" s="6">
        <f t="shared" si="54"/>
        <v>3377.0761440000001</v>
      </c>
      <c r="H74" s="6">
        <f t="shared" si="54"/>
        <v>3442.0199160000002</v>
      </c>
      <c r="I74" s="6">
        <f t="shared" si="54"/>
        <v>3506.9636879999998</v>
      </c>
      <c r="J74" s="6">
        <f t="shared" si="54"/>
        <v>3571.9074600000004</v>
      </c>
      <c r="K74" s="6">
        <f t="shared" si="54"/>
        <v>3636.8512320000004</v>
      </c>
      <c r="L74" s="6">
        <f t="shared" si="54"/>
        <v>3701.795004000001</v>
      </c>
      <c r="M74" s="6">
        <f t="shared" si="54"/>
        <v>3766.7387760000001</v>
      </c>
      <c r="N74" s="6">
        <f t="shared" si="54"/>
        <v>3831.6825480000002</v>
      </c>
      <c r="O74" s="6">
        <f t="shared" si="54"/>
        <v>3896.6263199999999</v>
      </c>
      <c r="P74" s="6">
        <f t="shared" si="54"/>
        <v>3961.5700919999999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SUMIFS(E$42:E$54,$A$42:$A$54,$A44)*$D75</f>
        <v>0</v>
      </c>
      <c r="F75" s="6">
        <f t="shared" ref="F75:P75" si="55">SUMIFS(F$42:F$54,$A$42:$A$54,$A44)*$D75</f>
        <v>0</v>
      </c>
      <c r="G75" s="6">
        <f t="shared" si="55"/>
        <v>0</v>
      </c>
      <c r="H75" s="6">
        <f t="shared" si="55"/>
        <v>0</v>
      </c>
      <c r="I75" s="6">
        <f t="shared" si="55"/>
        <v>0</v>
      </c>
      <c r="J75" s="6">
        <f t="shared" si="55"/>
        <v>0</v>
      </c>
      <c r="K75" s="6">
        <f t="shared" si="55"/>
        <v>0</v>
      </c>
      <c r="L75" s="6">
        <f t="shared" si="55"/>
        <v>0</v>
      </c>
      <c r="M75" s="6">
        <f t="shared" si="55"/>
        <v>0</v>
      </c>
      <c r="N75" s="6">
        <f t="shared" si="55"/>
        <v>0</v>
      </c>
      <c r="O75" s="6">
        <f t="shared" si="55"/>
        <v>0</v>
      </c>
      <c r="P75" s="6">
        <f t="shared" si="55"/>
        <v>0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SUMIFS(E$42:E$54,$A$42:$A$54,$A47)*$D76</f>
        <v>2491.65</v>
      </c>
      <c r="F76" s="6">
        <f t="shared" ref="F76:P76" si="56">SUMIFS(F$42:F$54,$A$42:$A$54,$A47)*$D76</f>
        <v>2541.4830000000002</v>
      </c>
      <c r="G76" s="6">
        <f t="shared" si="56"/>
        <v>2591.3160000000003</v>
      </c>
      <c r="H76" s="6">
        <f t="shared" si="56"/>
        <v>2641.1489999999999</v>
      </c>
      <c r="I76" s="6">
        <f t="shared" si="56"/>
        <v>2690.9820000000004</v>
      </c>
      <c r="J76" s="6">
        <f t="shared" si="56"/>
        <v>2740.8150000000001</v>
      </c>
      <c r="K76" s="6">
        <f t="shared" si="56"/>
        <v>2790.6480000000001</v>
      </c>
      <c r="L76" s="6">
        <f t="shared" si="56"/>
        <v>2840.4810000000007</v>
      </c>
      <c r="M76" s="6">
        <f t="shared" si="56"/>
        <v>2890.3139999999999</v>
      </c>
      <c r="N76" s="6">
        <f t="shared" si="56"/>
        <v>2940.1469999999999</v>
      </c>
      <c r="O76" s="6">
        <f t="shared" si="56"/>
        <v>2989.98</v>
      </c>
      <c r="P76" s="6">
        <f t="shared" si="56"/>
        <v>3039.8130000000001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((SUMIFS(E$42:E$54,$A$42:$A$54,$A50))+(SUMIFS(E$42:E$54,$A$42:$A$54,$A51)))*$D77</f>
        <v>2273.0320200000001</v>
      </c>
      <c r="F77" s="6">
        <f t="shared" ref="F77:P77" si="57">((SUMIFS(F$42:F$54,$A$42:$A$54,$A50))+(SUMIFS(F$42:F$54,$A$42:$A$54,$A51)))*$D77</f>
        <v>2318.4926603999997</v>
      </c>
      <c r="G77" s="6">
        <f t="shared" si="57"/>
        <v>2363.9533008000003</v>
      </c>
      <c r="H77" s="6">
        <f t="shared" si="57"/>
        <v>2409.4139412</v>
      </c>
      <c r="I77" s="6">
        <f t="shared" si="57"/>
        <v>2454.8745816000001</v>
      </c>
      <c r="J77" s="6">
        <f t="shared" si="57"/>
        <v>2500.3352220000002</v>
      </c>
      <c r="K77" s="6">
        <f t="shared" si="57"/>
        <v>2545.7958624000003</v>
      </c>
      <c r="L77" s="6">
        <f t="shared" si="57"/>
        <v>2591.2565028000008</v>
      </c>
      <c r="M77" s="6">
        <f t="shared" si="57"/>
        <v>2636.7171432</v>
      </c>
      <c r="N77" s="6">
        <f t="shared" si="57"/>
        <v>2682.1777836000001</v>
      </c>
      <c r="O77" s="6">
        <f t="shared" si="57"/>
        <v>2727.6384239999998</v>
      </c>
      <c r="P77" s="6">
        <f t="shared" si="57"/>
        <v>2773.0990643999999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640</v>
      </c>
      <c r="D78" s="85">
        <v>350</v>
      </c>
      <c r="E78" s="6">
        <f>(E200*$D78*12)*(1+E$9)</f>
        <v>0</v>
      </c>
      <c r="F78" s="6">
        <f t="shared" ref="F78:P78" si="58">(F200*$D78*12)*(1+F$9)</f>
        <v>0</v>
      </c>
      <c r="G78" s="6">
        <f t="shared" si="58"/>
        <v>0</v>
      </c>
      <c r="H78" s="6">
        <f t="shared" si="58"/>
        <v>0</v>
      </c>
      <c r="I78" s="6">
        <f t="shared" si="58"/>
        <v>0</v>
      </c>
      <c r="J78" s="6">
        <f t="shared" si="58"/>
        <v>0</v>
      </c>
      <c r="K78" s="6">
        <f t="shared" si="58"/>
        <v>0</v>
      </c>
      <c r="L78" s="6">
        <f t="shared" si="58"/>
        <v>0</v>
      </c>
      <c r="M78" s="6">
        <f t="shared" si="58"/>
        <v>0</v>
      </c>
      <c r="N78" s="6">
        <f t="shared" si="58"/>
        <v>0</v>
      </c>
      <c r="O78" s="6">
        <f t="shared" si="58"/>
        <v>0</v>
      </c>
      <c r="P78" s="6">
        <f t="shared" si="58"/>
        <v>0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640</v>
      </c>
      <c r="D79" s="85">
        <v>350</v>
      </c>
      <c r="E79" s="6">
        <f>(E203*$D79*12)*(1+E$9)</f>
        <v>12600</v>
      </c>
      <c r="F79" s="6">
        <f t="shared" ref="F79:P79" si="59">(F203*$D79*12)*(1+F$9)</f>
        <v>13104</v>
      </c>
      <c r="G79" s="6">
        <f t="shared" si="59"/>
        <v>13608</v>
      </c>
      <c r="H79" s="6">
        <f t="shared" si="59"/>
        <v>14112.000000000002</v>
      </c>
      <c r="I79" s="6">
        <f t="shared" si="59"/>
        <v>14615.999999999998</v>
      </c>
      <c r="J79" s="6">
        <f t="shared" si="59"/>
        <v>15120</v>
      </c>
      <c r="K79" s="6">
        <f t="shared" si="59"/>
        <v>15624</v>
      </c>
      <c r="L79" s="6">
        <f t="shared" si="59"/>
        <v>16128</v>
      </c>
      <c r="M79" s="6">
        <f t="shared" si="59"/>
        <v>16632</v>
      </c>
      <c r="N79" s="6">
        <f t="shared" si="59"/>
        <v>17136</v>
      </c>
      <c r="O79" s="6">
        <f t="shared" si="59"/>
        <v>17640</v>
      </c>
      <c r="P79" s="6">
        <f t="shared" si="59"/>
        <v>18144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640</v>
      </c>
      <c r="D80" s="85">
        <v>350</v>
      </c>
      <c r="E80" s="32">
        <f>(E204*$D80*12)*(1+E$9)</f>
        <v>21000</v>
      </c>
      <c r="F80" s="32">
        <f t="shared" ref="F80:P80" si="60">(F204*$D80*12)*(1+F$9)</f>
        <v>21840</v>
      </c>
      <c r="G80" s="32">
        <f t="shared" si="60"/>
        <v>22680</v>
      </c>
      <c r="H80" s="32">
        <f t="shared" si="60"/>
        <v>23520.000000000004</v>
      </c>
      <c r="I80" s="32">
        <f t="shared" si="60"/>
        <v>24360</v>
      </c>
      <c r="J80" s="32">
        <f t="shared" si="60"/>
        <v>25200</v>
      </c>
      <c r="K80" s="32">
        <f t="shared" si="60"/>
        <v>26040</v>
      </c>
      <c r="L80" s="32">
        <f t="shared" si="60"/>
        <v>26880</v>
      </c>
      <c r="M80" s="32">
        <f t="shared" si="60"/>
        <v>27720</v>
      </c>
      <c r="N80" s="32">
        <f t="shared" si="60"/>
        <v>28559.999999999996</v>
      </c>
      <c r="O80" s="32">
        <f t="shared" si="60"/>
        <v>29399.999999999996</v>
      </c>
      <c r="P80" s="32">
        <f t="shared" si="60"/>
        <v>30240</v>
      </c>
    </row>
    <row r="81" spans="1:16" s="2" customFormat="1" collapsed="1" x14ac:dyDescent="0.25">
      <c r="A81" s="62">
        <v>200</v>
      </c>
      <c r="B81" s="18" t="s">
        <v>106</v>
      </c>
      <c r="C81" s="18"/>
      <c r="E81" s="6">
        <f>SUM(E56:E80)-E68-E65-E62</f>
        <v>223338.68625000003</v>
      </c>
      <c r="F81" s="6">
        <f t="shared" ref="F81:P81" si="61">SUM(F56:F80)-F68-F65-F62</f>
        <v>229722.63505795505</v>
      </c>
      <c r="G81" s="6">
        <f t="shared" si="61"/>
        <v>234885.82398066</v>
      </c>
      <c r="H81" s="6">
        <f t="shared" si="61"/>
        <v>240049.01290336504</v>
      </c>
      <c r="I81" s="6">
        <f t="shared" si="61"/>
        <v>245212.20182607006</v>
      </c>
      <c r="J81" s="6">
        <f t="shared" si="61"/>
        <v>250375.3907487751</v>
      </c>
      <c r="K81" s="6">
        <f t="shared" si="61"/>
        <v>255538.57967147999</v>
      </c>
      <c r="L81" s="6">
        <f t="shared" si="61"/>
        <v>260701.76859418512</v>
      </c>
      <c r="M81" s="6">
        <f t="shared" si="61"/>
        <v>265864.95751689002</v>
      </c>
      <c r="N81" s="6">
        <f t="shared" si="61"/>
        <v>271028.14643959509</v>
      </c>
      <c r="O81" s="6">
        <f t="shared" si="61"/>
        <v>276191.33536229993</v>
      </c>
      <c r="P81" s="6">
        <f t="shared" si="61"/>
        <v>281354.52428500506</v>
      </c>
    </row>
    <row r="82" spans="1:16" s="2" customFormat="1" x14ac:dyDescent="0.25">
      <c r="A82" s="2">
        <v>300</v>
      </c>
      <c r="B82" s="18" t="s">
        <v>484</v>
      </c>
      <c r="C82" s="298" t="s">
        <v>738</v>
      </c>
      <c r="D82" s="164">
        <v>20</v>
      </c>
      <c r="E82" s="107">
        <f>ROUND(($D82*(1+E$11))*350,0)</f>
        <v>7000</v>
      </c>
      <c r="F82" s="107">
        <f t="shared" ref="F82:G82" si="62">ROUND(($D82*(1+F$11))*350,0)</f>
        <v>7140</v>
      </c>
      <c r="G82" s="107">
        <f t="shared" si="62"/>
        <v>7280</v>
      </c>
      <c r="H82" s="107">
        <f>ROUND((($D82*1.5^1)*(1+H$11))*350,0)</f>
        <v>11130</v>
      </c>
      <c r="I82" s="107">
        <f>H82</f>
        <v>11130</v>
      </c>
      <c r="J82" s="107">
        <f>I82</f>
        <v>11130</v>
      </c>
      <c r="K82" s="107">
        <f>ROUND((($D82*1.5^2)*(1+K$11))*350,0)</f>
        <v>17640</v>
      </c>
      <c r="L82" s="107">
        <f>K82</f>
        <v>17640</v>
      </c>
      <c r="M82" s="107">
        <f>L82</f>
        <v>17640</v>
      </c>
      <c r="N82" s="107">
        <f>ROUND((($D82*1.5^3)*(1+N$11))*350,0)</f>
        <v>27878</v>
      </c>
      <c r="O82" s="107">
        <f>N82</f>
        <v>27878</v>
      </c>
      <c r="P82" s="107">
        <f>O82</f>
        <v>27878</v>
      </c>
    </row>
    <row r="83" spans="1:16" s="2" customFormat="1" x14ac:dyDescent="0.25">
      <c r="A83" s="2">
        <v>300</v>
      </c>
      <c r="B83" s="18" t="s">
        <v>755</v>
      </c>
      <c r="C83" s="203" t="s">
        <v>486</v>
      </c>
      <c r="D83" s="333">
        <v>0</v>
      </c>
      <c r="E83" s="10">
        <f>IF(E$182=0,0,($D83*E23))</f>
        <v>0</v>
      </c>
      <c r="F83" s="10">
        <f t="shared" ref="F83:P83" si="63">IF(F$182=0,0,($D83*F23))</f>
        <v>0</v>
      </c>
      <c r="G83" s="10">
        <f t="shared" si="63"/>
        <v>0</v>
      </c>
      <c r="H83" s="10">
        <f t="shared" si="63"/>
        <v>0</v>
      </c>
      <c r="I83" s="10">
        <f t="shared" si="63"/>
        <v>0</v>
      </c>
      <c r="J83" s="10">
        <f t="shared" si="63"/>
        <v>0</v>
      </c>
      <c r="K83" s="10">
        <f t="shared" si="63"/>
        <v>0</v>
      </c>
      <c r="L83" s="10">
        <f t="shared" si="63"/>
        <v>0</v>
      </c>
      <c r="M83" s="10">
        <f t="shared" si="63"/>
        <v>0</v>
      </c>
      <c r="N83" s="10">
        <f t="shared" si="63"/>
        <v>0</v>
      </c>
      <c r="O83" s="10">
        <f t="shared" si="63"/>
        <v>0</v>
      </c>
      <c r="P83" s="10">
        <f t="shared" si="63"/>
        <v>0</v>
      </c>
    </row>
    <row r="84" spans="1:16" s="2" customFormat="1" x14ac:dyDescent="0.25">
      <c r="A84" s="2">
        <v>300</v>
      </c>
      <c r="B84" s="18" t="s">
        <v>485</v>
      </c>
      <c r="C84" s="203" t="s">
        <v>486</v>
      </c>
      <c r="D84" s="333">
        <v>0</v>
      </c>
      <c r="E84" s="10">
        <f t="shared" ref="E84:P84" si="64">$D84*E23</f>
        <v>0</v>
      </c>
      <c r="F84" s="10">
        <f t="shared" si="64"/>
        <v>0</v>
      </c>
      <c r="G84" s="10">
        <f t="shared" si="64"/>
        <v>0</v>
      </c>
      <c r="H84" s="10">
        <f t="shared" si="64"/>
        <v>0</v>
      </c>
      <c r="I84" s="10">
        <f t="shared" si="64"/>
        <v>0</v>
      </c>
      <c r="J84" s="10">
        <f t="shared" si="64"/>
        <v>0</v>
      </c>
      <c r="K84" s="10">
        <f t="shared" si="64"/>
        <v>0</v>
      </c>
      <c r="L84" s="10">
        <f t="shared" si="64"/>
        <v>0</v>
      </c>
      <c r="M84" s="10">
        <f t="shared" si="64"/>
        <v>0</v>
      </c>
      <c r="N84" s="10">
        <f t="shared" si="64"/>
        <v>0</v>
      </c>
      <c r="O84" s="10">
        <f t="shared" si="64"/>
        <v>0</v>
      </c>
      <c r="P84" s="10">
        <f t="shared" si="64"/>
        <v>0</v>
      </c>
    </row>
    <row r="85" spans="1:16" s="2" customFormat="1" hidden="1" outlineLevel="1" x14ac:dyDescent="0.25">
      <c r="A85" s="62">
        <v>6300</v>
      </c>
      <c r="B85" s="18" t="s">
        <v>595</v>
      </c>
      <c r="C85" s="298" t="s">
        <v>584</v>
      </c>
      <c r="D85" s="164">
        <v>20</v>
      </c>
      <c r="E85" s="107">
        <f>$D85*250</f>
        <v>5000</v>
      </c>
      <c r="F85" s="107">
        <f t="shared" ref="F85:P85" si="65">$D85*250</f>
        <v>5000</v>
      </c>
      <c r="G85" s="107">
        <f t="shared" si="65"/>
        <v>5000</v>
      </c>
      <c r="H85" s="107">
        <f t="shared" si="65"/>
        <v>5000</v>
      </c>
      <c r="I85" s="107">
        <f t="shared" si="65"/>
        <v>5000</v>
      </c>
      <c r="J85" s="107">
        <f t="shared" si="65"/>
        <v>5000</v>
      </c>
      <c r="K85" s="107">
        <f t="shared" si="65"/>
        <v>5000</v>
      </c>
      <c r="L85" s="107">
        <f t="shared" si="65"/>
        <v>5000</v>
      </c>
      <c r="M85" s="107">
        <f t="shared" si="65"/>
        <v>5000</v>
      </c>
      <c r="N85" s="107">
        <f t="shared" si="65"/>
        <v>5000</v>
      </c>
      <c r="O85" s="107">
        <f t="shared" si="65"/>
        <v>5000</v>
      </c>
      <c r="P85" s="107">
        <f t="shared" si="65"/>
        <v>5000</v>
      </c>
    </row>
    <row r="86" spans="1:16" s="2" customFormat="1" hidden="1" outlineLevel="1" x14ac:dyDescent="0.25">
      <c r="A86" s="62">
        <v>6300</v>
      </c>
      <c r="B86" s="18" t="s">
        <v>516</v>
      </c>
      <c r="C86" s="299" t="s">
        <v>594</v>
      </c>
      <c r="D86" s="199">
        <v>0</v>
      </c>
      <c r="E86" s="107">
        <f>$D86*E182</f>
        <v>0</v>
      </c>
      <c r="F86" s="107">
        <f t="shared" ref="F86:P86" si="66">$D86*F182</f>
        <v>0</v>
      </c>
      <c r="G86" s="107">
        <f t="shared" si="66"/>
        <v>0</v>
      </c>
      <c r="H86" s="107">
        <f t="shared" si="66"/>
        <v>0</v>
      </c>
      <c r="I86" s="107">
        <f t="shared" si="66"/>
        <v>0</v>
      </c>
      <c r="J86" s="107">
        <f t="shared" si="66"/>
        <v>0</v>
      </c>
      <c r="K86" s="107">
        <f t="shared" si="66"/>
        <v>0</v>
      </c>
      <c r="L86" s="107">
        <f t="shared" si="66"/>
        <v>0</v>
      </c>
      <c r="M86" s="107">
        <f t="shared" si="66"/>
        <v>0</v>
      </c>
      <c r="N86" s="107">
        <f t="shared" si="66"/>
        <v>0</v>
      </c>
      <c r="O86" s="107">
        <f t="shared" si="66"/>
        <v>0</v>
      </c>
      <c r="P86" s="107">
        <f t="shared" si="66"/>
        <v>0</v>
      </c>
    </row>
    <row r="87" spans="1:16" s="2" customFormat="1" hidden="1" outlineLevel="1" x14ac:dyDescent="0.25">
      <c r="A87" s="62">
        <v>6300</v>
      </c>
      <c r="B87" s="18" t="s">
        <v>596</v>
      </c>
      <c r="C87" s="203" t="s">
        <v>593</v>
      </c>
      <c r="D87" s="164">
        <v>0</v>
      </c>
      <c r="E87" s="107">
        <f>$D87*50</f>
        <v>0</v>
      </c>
      <c r="F87" s="107">
        <f t="shared" ref="F87:P87" si="67">$D87*50</f>
        <v>0</v>
      </c>
      <c r="G87" s="107">
        <f t="shared" si="67"/>
        <v>0</v>
      </c>
      <c r="H87" s="107">
        <f t="shared" si="67"/>
        <v>0</v>
      </c>
      <c r="I87" s="107">
        <f t="shared" si="67"/>
        <v>0</v>
      </c>
      <c r="J87" s="107">
        <f t="shared" si="67"/>
        <v>0</v>
      </c>
      <c r="K87" s="107">
        <f t="shared" si="67"/>
        <v>0</v>
      </c>
      <c r="L87" s="107">
        <f t="shared" si="67"/>
        <v>0</v>
      </c>
      <c r="M87" s="107">
        <f t="shared" si="67"/>
        <v>0</v>
      </c>
      <c r="N87" s="107">
        <f t="shared" si="67"/>
        <v>0</v>
      </c>
      <c r="O87" s="107">
        <f t="shared" si="67"/>
        <v>0</v>
      </c>
      <c r="P87" s="107">
        <f t="shared" si="67"/>
        <v>0</v>
      </c>
    </row>
    <row r="88" spans="1:16" s="2" customFormat="1" hidden="1" outlineLevel="1" x14ac:dyDescent="0.25">
      <c r="A88" s="62">
        <v>6300</v>
      </c>
      <c r="B88" s="18" t="s">
        <v>597</v>
      </c>
      <c r="C88" s="203" t="s">
        <v>601</v>
      </c>
      <c r="D88" s="164">
        <v>0</v>
      </c>
      <c r="E88" s="107">
        <f>$D88*60</f>
        <v>0</v>
      </c>
      <c r="F88" s="107">
        <f t="shared" ref="F88:P88" si="68">$D88*60</f>
        <v>0</v>
      </c>
      <c r="G88" s="107">
        <f t="shared" si="68"/>
        <v>0</v>
      </c>
      <c r="H88" s="107">
        <f t="shared" si="68"/>
        <v>0</v>
      </c>
      <c r="I88" s="107">
        <f t="shared" si="68"/>
        <v>0</v>
      </c>
      <c r="J88" s="107">
        <f t="shared" si="68"/>
        <v>0</v>
      </c>
      <c r="K88" s="107">
        <f t="shared" si="68"/>
        <v>0</v>
      </c>
      <c r="L88" s="107">
        <f t="shared" si="68"/>
        <v>0</v>
      </c>
      <c r="M88" s="107">
        <f t="shared" si="68"/>
        <v>0</v>
      </c>
      <c r="N88" s="107">
        <f t="shared" si="68"/>
        <v>0</v>
      </c>
      <c r="O88" s="107">
        <f t="shared" si="68"/>
        <v>0</v>
      </c>
      <c r="P88" s="107">
        <f t="shared" si="68"/>
        <v>0</v>
      </c>
    </row>
    <row r="89" spans="1:16" s="2" customFormat="1" hidden="1" outlineLevel="1" x14ac:dyDescent="0.25">
      <c r="A89" s="62">
        <v>6300</v>
      </c>
      <c r="B89" s="18" t="s">
        <v>598</v>
      </c>
      <c r="C89" s="203" t="s">
        <v>599</v>
      </c>
      <c r="D89" s="164">
        <v>0</v>
      </c>
      <c r="E89" s="107">
        <f>$D89*50</f>
        <v>0</v>
      </c>
      <c r="F89" s="107">
        <f t="shared" ref="F89:P89" si="69">$D89*50</f>
        <v>0</v>
      </c>
      <c r="G89" s="107">
        <f t="shared" si="69"/>
        <v>0</v>
      </c>
      <c r="H89" s="107">
        <f t="shared" si="69"/>
        <v>0</v>
      </c>
      <c r="I89" s="107">
        <f t="shared" si="69"/>
        <v>0</v>
      </c>
      <c r="J89" s="107">
        <f t="shared" si="69"/>
        <v>0</v>
      </c>
      <c r="K89" s="107">
        <f t="shared" si="69"/>
        <v>0</v>
      </c>
      <c r="L89" s="107">
        <f t="shared" si="69"/>
        <v>0</v>
      </c>
      <c r="M89" s="107">
        <f t="shared" si="69"/>
        <v>0</v>
      </c>
      <c r="N89" s="107">
        <f t="shared" si="69"/>
        <v>0</v>
      </c>
      <c r="O89" s="107">
        <f t="shared" si="69"/>
        <v>0</v>
      </c>
      <c r="P89" s="107">
        <f t="shared" si="69"/>
        <v>0</v>
      </c>
    </row>
    <row r="90" spans="1:16" s="2" customFormat="1" hidden="1" outlineLevel="1" x14ac:dyDescent="0.25">
      <c r="A90" s="62">
        <v>6300</v>
      </c>
      <c r="B90" s="18" t="s">
        <v>600</v>
      </c>
      <c r="C90" s="298" t="s">
        <v>762</v>
      </c>
      <c r="D90" s="164">
        <v>26000</v>
      </c>
      <c r="E90" s="107">
        <f>$D90</f>
        <v>26000</v>
      </c>
      <c r="F90" s="107">
        <f t="shared" ref="F90:P90" si="70">$D90</f>
        <v>26000</v>
      </c>
      <c r="G90" s="107">
        <f t="shared" si="70"/>
        <v>26000</v>
      </c>
      <c r="H90" s="107">
        <f t="shared" si="70"/>
        <v>26000</v>
      </c>
      <c r="I90" s="107">
        <f t="shared" si="70"/>
        <v>26000</v>
      </c>
      <c r="J90" s="107">
        <f t="shared" si="70"/>
        <v>26000</v>
      </c>
      <c r="K90" s="107">
        <f t="shared" si="70"/>
        <v>26000</v>
      </c>
      <c r="L90" s="107">
        <f t="shared" si="70"/>
        <v>26000</v>
      </c>
      <c r="M90" s="107">
        <f t="shared" si="70"/>
        <v>26000</v>
      </c>
      <c r="N90" s="107">
        <f t="shared" si="70"/>
        <v>26000</v>
      </c>
      <c r="O90" s="107">
        <f t="shared" si="70"/>
        <v>26000</v>
      </c>
      <c r="P90" s="107">
        <f t="shared" si="70"/>
        <v>26000</v>
      </c>
    </row>
    <row r="91" spans="1:16" s="2" customFormat="1" hidden="1" outlineLevel="1" x14ac:dyDescent="0.25">
      <c r="A91" s="62">
        <v>6300</v>
      </c>
      <c r="B91" s="18" t="s">
        <v>519</v>
      </c>
      <c r="C91" s="298" t="s">
        <v>641</v>
      </c>
      <c r="D91" s="164">
        <v>20</v>
      </c>
      <c r="E91" s="32">
        <f>$D91*50</f>
        <v>1000</v>
      </c>
      <c r="F91" s="32">
        <f t="shared" ref="F91:P91" si="71">$D91*50</f>
        <v>1000</v>
      </c>
      <c r="G91" s="32">
        <f t="shared" si="71"/>
        <v>1000</v>
      </c>
      <c r="H91" s="32">
        <f t="shared" si="71"/>
        <v>1000</v>
      </c>
      <c r="I91" s="32">
        <f t="shared" si="71"/>
        <v>1000</v>
      </c>
      <c r="J91" s="32">
        <f t="shared" si="71"/>
        <v>1000</v>
      </c>
      <c r="K91" s="32">
        <f t="shared" si="71"/>
        <v>1000</v>
      </c>
      <c r="L91" s="32">
        <f t="shared" si="71"/>
        <v>1000</v>
      </c>
      <c r="M91" s="32">
        <f t="shared" si="71"/>
        <v>1000</v>
      </c>
      <c r="N91" s="32">
        <f t="shared" si="71"/>
        <v>1000</v>
      </c>
      <c r="O91" s="32">
        <f t="shared" si="71"/>
        <v>1000</v>
      </c>
      <c r="P91" s="32">
        <f t="shared" si="71"/>
        <v>1000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10">
        <f>SUM(E85:E91)</f>
        <v>32000</v>
      </c>
      <c r="F92" s="10">
        <f t="shared" ref="F92:P92" si="72">SUM(F85:F91)</f>
        <v>32000</v>
      </c>
      <c r="G92" s="10">
        <f t="shared" si="72"/>
        <v>32000</v>
      </c>
      <c r="H92" s="10">
        <f t="shared" si="72"/>
        <v>32000</v>
      </c>
      <c r="I92" s="10">
        <f t="shared" si="72"/>
        <v>32000</v>
      </c>
      <c r="J92" s="10">
        <f t="shared" si="72"/>
        <v>32000</v>
      </c>
      <c r="K92" s="10">
        <f t="shared" si="72"/>
        <v>32000</v>
      </c>
      <c r="L92" s="10">
        <f t="shared" si="72"/>
        <v>32000</v>
      </c>
      <c r="M92" s="10">
        <f t="shared" si="72"/>
        <v>32000</v>
      </c>
      <c r="N92" s="10">
        <f t="shared" si="72"/>
        <v>32000</v>
      </c>
      <c r="O92" s="10">
        <f t="shared" si="72"/>
        <v>32000</v>
      </c>
      <c r="P92" s="10">
        <f t="shared" si="72"/>
        <v>32000</v>
      </c>
    </row>
    <row r="93" spans="1:16" s="2" customFormat="1" hidden="1" outlineLevel="2" x14ac:dyDescent="0.25">
      <c r="A93" s="62">
        <v>6320</v>
      </c>
      <c r="B93" s="18" t="s">
        <v>432</v>
      </c>
      <c r="C93" s="298" t="s">
        <v>643</v>
      </c>
      <c r="D93" s="96">
        <v>24000</v>
      </c>
      <c r="E93" s="10">
        <f>$D93</f>
        <v>24000</v>
      </c>
      <c r="F93" s="10">
        <f t="shared" ref="F93:P94" si="73">$D93</f>
        <v>24000</v>
      </c>
      <c r="G93" s="10">
        <f t="shared" si="73"/>
        <v>24000</v>
      </c>
      <c r="H93" s="10">
        <f t="shared" si="73"/>
        <v>24000</v>
      </c>
      <c r="I93" s="10">
        <f t="shared" si="73"/>
        <v>24000</v>
      </c>
      <c r="J93" s="10">
        <f t="shared" si="73"/>
        <v>24000</v>
      </c>
      <c r="K93" s="10">
        <f t="shared" si="73"/>
        <v>24000</v>
      </c>
      <c r="L93" s="10">
        <f t="shared" si="73"/>
        <v>24000</v>
      </c>
      <c r="M93" s="10">
        <f t="shared" si="73"/>
        <v>24000</v>
      </c>
      <c r="N93" s="10">
        <f t="shared" si="73"/>
        <v>24000</v>
      </c>
      <c r="O93" s="10">
        <f t="shared" si="73"/>
        <v>24000</v>
      </c>
      <c r="P93" s="10">
        <f t="shared" si="73"/>
        <v>24000</v>
      </c>
    </row>
    <row r="94" spans="1:16" s="2" customFormat="1" hidden="1" outlineLevel="2" x14ac:dyDescent="0.25">
      <c r="A94" s="62">
        <v>6320</v>
      </c>
      <c r="B94" s="18" t="s">
        <v>431</v>
      </c>
      <c r="C94" s="298" t="s">
        <v>643</v>
      </c>
      <c r="D94" s="96">
        <v>1500</v>
      </c>
      <c r="E94" s="10">
        <f>$D94</f>
        <v>1500</v>
      </c>
      <c r="F94" s="10">
        <f t="shared" si="73"/>
        <v>1500</v>
      </c>
      <c r="G94" s="10">
        <f t="shared" si="73"/>
        <v>1500</v>
      </c>
      <c r="H94" s="10">
        <f t="shared" si="73"/>
        <v>1500</v>
      </c>
      <c r="I94" s="10">
        <f t="shared" si="73"/>
        <v>1500</v>
      </c>
      <c r="J94" s="10">
        <f t="shared" si="73"/>
        <v>1500</v>
      </c>
      <c r="K94" s="10">
        <f t="shared" si="73"/>
        <v>1500</v>
      </c>
      <c r="L94" s="10">
        <f t="shared" si="73"/>
        <v>1500</v>
      </c>
      <c r="M94" s="10">
        <f t="shared" si="73"/>
        <v>1500</v>
      </c>
      <c r="N94" s="10">
        <f t="shared" si="73"/>
        <v>1500</v>
      </c>
      <c r="O94" s="10">
        <f t="shared" si="73"/>
        <v>1500</v>
      </c>
      <c r="P94" s="10">
        <f t="shared" si="73"/>
        <v>1500</v>
      </c>
    </row>
    <row r="95" spans="1:16" s="2" customFormat="1" hidden="1" outlineLevel="2" x14ac:dyDescent="0.25">
      <c r="A95" s="62">
        <v>6320</v>
      </c>
      <c r="B95" s="18" t="s">
        <v>433</v>
      </c>
      <c r="C95" s="203" t="s">
        <v>642</v>
      </c>
      <c r="D95" s="164">
        <v>0</v>
      </c>
      <c r="E95" s="11">
        <f>$D95*(0.5*E185)</f>
        <v>0</v>
      </c>
      <c r="F95" s="11">
        <f t="shared" ref="F95:P95" si="74">$D95*(0.5*F185)</f>
        <v>0</v>
      </c>
      <c r="G95" s="11">
        <f t="shared" si="74"/>
        <v>0</v>
      </c>
      <c r="H95" s="11">
        <f t="shared" si="74"/>
        <v>0</v>
      </c>
      <c r="I95" s="11">
        <f t="shared" si="74"/>
        <v>0</v>
      </c>
      <c r="J95" s="11">
        <f t="shared" si="74"/>
        <v>0</v>
      </c>
      <c r="K95" s="11">
        <f t="shared" si="74"/>
        <v>0</v>
      </c>
      <c r="L95" s="11">
        <f t="shared" si="74"/>
        <v>0</v>
      </c>
      <c r="M95" s="11">
        <f t="shared" si="74"/>
        <v>0</v>
      </c>
      <c r="N95" s="11">
        <f t="shared" si="74"/>
        <v>0</v>
      </c>
      <c r="O95" s="11">
        <f t="shared" si="74"/>
        <v>0</v>
      </c>
      <c r="P95" s="11">
        <f t="shared" si="74"/>
        <v>0</v>
      </c>
    </row>
    <row r="96" spans="1:16" s="2" customFormat="1" collapsed="1" x14ac:dyDescent="0.25">
      <c r="A96" s="2">
        <v>320</v>
      </c>
      <c r="B96" s="18" t="s">
        <v>434</v>
      </c>
      <c r="E96" s="10">
        <f>SUM(E93:E95)</f>
        <v>25500</v>
      </c>
      <c r="F96" s="10">
        <f t="shared" ref="F96:P96" si="75">SUM(F93:F95)</f>
        <v>25500</v>
      </c>
      <c r="G96" s="10">
        <f t="shared" si="75"/>
        <v>25500</v>
      </c>
      <c r="H96" s="10">
        <f t="shared" si="75"/>
        <v>25500</v>
      </c>
      <c r="I96" s="10">
        <f t="shared" si="75"/>
        <v>25500</v>
      </c>
      <c r="J96" s="10">
        <f t="shared" si="75"/>
        <v>25500</v>
      </c>
      <c r="K96" s="10">
        <f t="shared" si="75"/>
        <v>25500</v>
      </c>
      <c r="L96" s="10">
        <f t="shared" si="75"/>
        <v>25500</v>
      </c>
      <c r="M96" s="10">
        <f t="shared" si="75"/>
        <v>25500</v>
      </c>
      <c r="N96" s="10">
        <f t="shared" si="75"/>
        <v>25500</v>
      </c>
      <c r="O96" s="10">
        <f t="shared" si="75"/>
        <v>25500</v>
      </c>
      <c r="P96" s="10">
        <f t="shared" si="75"/>
        <v>25500</v>
      </c>
    </row>
    <row r="97" spans="1:16" s="2" customFormat="1" hidden="1" outlineLevel="2" x14ac:dyDescent="0.25">
      <c r="A97" s="62">
        <v>6331</v>
      </c>
      <c r="B97" s="18" t="s">
        <v>436</v>
      </c>
      <c r="C97" s="298" t="s">
        <v>644</v>
      </c>
      <c r="D97" s="96">
        <v>0</v>
      </c>
      <c r="E97" s="6">
        <f>((SUMIFS(E$188:E$196,$A$188:$A$196,$A42)))*$D97+((SUMIFS(E$188:E$196,$A$188:$A$196,$A43)))*$D97</f>
        <v>0</v>
      </c>
      <c r="F97" s="6">
        <f t="shared" ref="F97:P97" si="76">((SUMIFS(F$188:F$196,$A$188:$A$196,$A42)))*$D97+((SUMIFS(F$188:F$196,$A$188:$A$196,$A43)))*$D97</f>
        <v>0</v>
      </c>
      <c r="G97" s="6">
        <f t="shared" si="76"/>
        <v>0</v>
      </c>
      <c r="H97" s="6">
        <f t="shared" si="76"/>
        <v>0</v>
      </c>
      <c r="I97" s="6">
        <f t="shared" si="76"/>
        <v>0</v>
      </c>
      <c r="J97" s="6">
        <f t="shared" si="76"/>
        <v>0</v>
      </c>
      <c r="K97" s="6">
        <f t="shared" si="76"/>
        <v>0</v>
      </c>
      <c r="L97" s="6">
        <f t="shared" si="76"/>
        <v>0</v>
      </c>
      <c r="M97" s="6">
        <f t="shared" si="76"/>
        <v>0</v>
      </c>
      <c r="N97" s="6">
        <f t="shared" si="76"/>
        <v>0</v>
      </c>
      <c r="O97" s="6">
        <f t="shared" si="76"/>
        <v>0</v>
      </c>
      <c r="P97" s="6">
        <f t="shared" si="76"/>
        <v>0</v>
      </c>
    </row>
    <row r="98" spans="1:16" s="2" customFormat="1" hidden="1" outlineLevel="2" x14ac:dyDescent="0.25">
      <c r="A98" s="62">
        <v>6333</v>
      </c>
      <c r="B98" s="18" t="s">
        <v>437</v>
      </c>
      <c r="C98" s="298" t="s">
        <v>645</v>
      </c>
      <c r="D98" s="96">
        <v>1500</v>
      </c>
      <c r="E98" s="6">
        <f>((SUMIFS(E$188:E$196,$A$188:$A$196,$A46)))*$D98+((SUMIFS(E$188:E$196,$A$188:$A$196,$A45)))*$D98</f>
        <v>4500</v>
      </c>
      <c r="F98" s="6">
        <f t="shared" ref="F98:P98" si="77">((SUMIFS(F$188:F$196,$A$188:$A$196,$A46)))*$D98+((SUMIFS(F$188:F$196,$A$188:$A$196,$A45)))*$D98</f>
        <v>4500</v>
      </c>
      <c r="G98" s="6">
        <f t="shared" si="77"/>
        <v>4500</v>
      </c>
      <c r="H98" s="6">
        <f t="shared" si="77"/>
        <v>4500</v>
      </c>
      <c r="I98" s="6">
        <f t="shared" si="77"/>
        <v>4500</v>
      </c>
      <c r="J98" s="6">
        <f t="shared" si="77"/>
        <v>4500</v>
      </c>
      <c r="K98" s="6">
        <f t="shared" si="77"/>
        <v>4500</v>
      </c>
      <c r="L98" s="6">
        <f t="shared" si="77"/>
        <v>4500</v>
      </c>
      <c r="M98" s="6">
        <f t="shared" si="77"/>
        <v>4500</v>
      </c>
      <c r="N98" s="6">
        <f t="shared" si="77"/>
        <v>4500</v>
      </c>
      <c r="O98" s="6">
        <f t="shared" si="77"/>
        <v>4500</v>
      </c>
      <c r="P98" s="6">
        <f t="shared" si="77"/>
        <v>4500</v>
      </c>
    </row>
    <row r="99" spans="1:16" s="2" customFormat="1" hidden="1" outlineLevel="2" x14ac:dyDescent="0.25">
      <c r="A99" s="62">
        <v>6336</v>
      </c>
      <c r="B99" s="18" t="s">
        <v>438</v>
      </c>
      <c r="C99" s="298" t="s">
        <v>646</v>
      </c>
      <c r="D99" s="96">
        <v>500</v>
      </c>
      <c r="E99" s="6">
        <f>((SUMIFS(E$188:E$196,$A$188:$A$196,$A48)))*$D99+((SUMIFS(E$188:E$196,$A$188:$A$196,$A49)))*$D99</f>
        <v>2500</v>
      </c>
      <c r="F99" s="6">
        <f t="shared" ref="F99:P99" si="78">((SUMIFS(F$188:F$196,$A$188:$A$196,$A48)))*$D99+((SUMIFS(F$188:F$196,$A$188:$A$196,$A49)))*$D99</f>
        <v>2500</v>
      </c>
      <c r="G99" s="6">
        <f t="shared" si="78"/>
        <v>2500</v>
      </c>
      <c r="H99" s="6">
        <f t="shared" si="78"/>
        <v>2500</v>
      </c>
      <c r="I99" s="6">
        <f t="shared" si="78"/>
        <v>2500</v>
      </c>
      <c r="J99" s="6">
        <f t="shared" si="78"/>
        <v>2500</v>
      </c>
      <c r="K99" s="6">
        <f t="shared" si="78"/>
        <v>2500</v>
      </c>
      <c r="L99" s="6">
        <f t="shared" si="78"/>
        <v>2500</v>
      </c>
      <c r="M99" s="6">
        <f t="shared" si="78"/>
        <v>2500</v>
      </c>
      <c r="N99" s="6">
        <f t="shared" si="78"/>
        <v>2500</v>
      </c>
      <c r="O99" s="6">
        <f t="shared" si="78"/>
        <v>2500</v>
      </c>
      <c r="P99" s="6">
        <f t="shared" si="78"/>
        <v>2500</v>
      </c>
    </row>
    <row r="100" spans="1:16" s="2" customFormat="1" hidden="1" outlineLevel="2" x14ac:dyDescent="0.25">
      <c r="A100" s="62">
        <v>6337</v>
      </c>
      <c r="B100" s="18" t="s">
        <v>439</v>
      </c>
      <c r="C100" s="298" t="s">
        <v>647</v>
      </c>
      <c r="D100" s="85">
        <v>0</v>
      </c>
      <c r="E100" s="32">
        <f>((SUMIFS(E$188:E$196,$A$188:$A$196,$A51)))*$D100</f>
        <v>0</v>
      </c>
      <c r="F100" s="32">
        <f t="shared" ref="F100:P100" si="79">((SUMIFS(F$188:F$196,$A$188:$A$196,$A51)))*$D100</f>
        <v>0</v>
      </c>
      <c r="G100" s="32">
        <f t="shared" si="79"/>
        <v>0</v>
      </c>
      <c r="H100" s="32">
        <f t="shared" si="79"/>
        <v>0</v>
      </c>
      <c r="I100" s="32">
        <f t="shared" si="79"/>
        <v>0</v>
      </c>
      <c r="J100" s="32">
        <f t="shared" si="79"/>
        <v>0</v>
      </c>
      <c r="K100" s="32">
        <f t="shared" si="79"/>
        <v>0</v>
      </c>
      <c r="L100" s="32">
        <f t="shared" si="79"/>
        <v>0</v>
      </c>
      <c r="M100" s="32">
        <f t="shared" si="79"/>
        <v>0</v>
      </c>
      <c r="N100" s="32">
        <f t="shared" si="79"/>
        <v>0</v>
      </c>
      <c r="O100" s="32">
        <f t="shared" si="79"/>
        <v>0</v>
      </c>
      <c r="P100" s="32">
        <f t="shared" si="79"/>
        <v>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0">
        <f>SUM(E97:E100)</f>
        <v>7000</v>
      </c>
      <c r="F101" s="10">
        <f t="shared" ref="F101:P101" si="80">SUM(F97:F100)</f>
        <v>7000</v>
      </c>
      <c r="G101" s="10">
        <f t="shared" si="80"/>
        <v>7000</v>
      </c>
      <c r="H101" s="10">
        <f t="shared" si="80"/>
        <v>7000</v>
      </c>
      <c r="I101" s="10">
        <f t="shared" si="80"/>
        <v>7000</v>
      </c>
      <c r="J101" s="10">
        <f t="shared" si="80"/>
        <v>7000</v>
      </c>
      <c r="K101" s="10">
        <f t="shared" si="80"/>
        <v>7000</v>
      </c>
      <c r="L101" s="10">
        <f t="shared" si="80"/>
        <v>7000</v>
      </c>
      <c r="M101" s="10">
        <f t="shared" si="80"/>
        <v>7000</v>
      </c>
      <c r="N101" s="10">
        <f t="shared" si="80"/>
        <v>7000</v>
      </c>
      <c r="O101" s="10">
        <f t="shared" si="80"/>
        <v>7000</v>
      </c>
      <c r="P101" s="10">
        <f t="shared" si="80"/>
        <v>7000</v>
      </c>
    </row>
    <row r="102" spans="1:16" s="2" customFormat="1" x14ac:dyDescent="0.25">
      <c r="A102" s="2">
        <v>340</v>
      </c>
      <c r="B102" s="18" t="s">
        <v>704</v>
      </c>
      <c r="C102" s="298" t="s">
        <v>705</v>
      </c>
      <c r="D102" s="96">
        <v>12000</v>
      </c>
      <c r="E102" s="107">
        <f t="shared" ref="E102:P107" si="81">$D102</f>
        <v>12000</v>
      </c>
      <c r="F102" s="107">
        <v>0</v>
      </c>
      <c r="G102" s="107">
        <v>6000</v>
      </c>
      <c r="H102" s="107">
        <v>0</v>
      </c>
      <c r="I102" s="107">
        <f t="shared" si="81"/>
        <v>12000</v>
      </c>
      <c r="J102" s="107">
        <f t="shared" si="81"/>
        <v>12000</v>
      </c>
      <c r="K102" s="107">
        <f t="shared" si="81"/>
        <v>12000</v>
      </c>
      <c r="L102" s="107">
        <f t="shared" si="81"/>
        <v>12000</v>
      </c>
      <c r="M102" s="107">
        <f t="shared" si="81"/>
        <v>12000</v>
      </c>
      <c r="N102" s="107">
        <f t="shared" si="81"/>
        <v>12000</v>
      </c>
      <c r="O102" s="107">
        <f t="shared" si="81"/>
        <v>12000</v>
      </c>
      <c r="P102" s="107">
        <f t="shared" si="81"/>
        <v>12000</v>
      </c>
    </row>
    <row r="103" spans="1:16" s="2" customFormat="1" x14ac:dyDescent="0.25">
      <c r="A103" s="2">
        <v>340</v>
      </c>
      <c r="B103" s="18" t="s">
        <v>488</v>
      </c>
      <c r="C103" s="298" t="s">
        <v>643</v>
      </c>
      <c r="D103" s="96">
        <v>6000</v>
      </c>
      <c r="E103" s="107">
        <f>$D103</f>
        <v>6000</v>
      </c>
      <c r="F103" s="107">
        <f t="shared" si="81"/>
        <v>6000</v>
      </c>
      <c r="G103" s="107">
        <f t="shared" si="81"/>
        <v>6000</v>
      </c>
      <c r="H103" s="107">
        <f t="shared" si="81"/>
        <v>6000</v>
      </c>
      <c r="I103" s="107">
        <f t="shared" si="81"/>
        <v>6000</v>
      </c>
      <c r="J103" s="107">
        <f t="shared" si="81"/>
        <v>6000</v>
      </c>
      <c r="K103" s="107">
        <f t="shared" si="81"/>
        <v>6000</v>
      </c>
      <c r="L103" s="107">
        <f t="shared" si="81"/>
        <v>6000</v>
      </c>
      <c r="M103" s="107">
        <f t="shared" si="81"/>
        <v>6000</v>
      </c>
      <c r="N103" s="107">
        <f t="shared" si="81"/>
        <v>6000</v>
      </c>
      <c r="O103" s="107">
        <f t="shared" si="81"/>
        <v>6000</v>
      </c>
      <c r="P103" s="107">
        <f t="shared" si="81"/>
        <v>6000</v>
      </c>
    </row>
    <row r="104" spans="1:16" s="2" customFormat="1" x14ac:dyDescent="0.25">
      <c r="A104" s="2">
        <v>340</v>
      </c>
      <c r="B104" s="18" t="s">
        <v>489</v>
      </c>
      <c r="C104" s="298" t="s">
        <v>643</v>
      </c>
      <c r="D104" s="96">
        <v>9000</v>
      </c>
      <c r="E104" s="107">
        <f>$D104</f>
        <v>9000</v>
      </c>
      <c r="F104" s="107">
        <f t="shared" si="81"/>
        <v>9000</v>
      </c>
      <c r="G104" s="107">
        <f t="shared" si="81"/>
        <v>9000</v>
      </c>
      <c r="H104" s="107">
        <f t="shared" si="81"/>
        <v>9000</v>
      </c>
      <c r="I104" s="107">
        <f t="shared" si="81"/>
        <v>9000</v>
      </c>
      <c r="J104" s="107">
        <f t="shared" si="81"/>
        <v>9000</v>
      </c>
      <c r="K104" s="107">
        <f t="shared" si="81"/>
        <v>9000</v>
      </c>
      <c r="L104" s="107">
        <f t="shared" si="81"/>
        <v>9000</v>
      </c>
      <c r="M104" s="107">
        <f t="shared" si="81"/>
        <v>9000</v>
      </c>
      <c r="N104" s="107">
        <f t="shared" si="81"/>
        <v>9000</v>
      </c>
      <c r="O104" s="107">
        <f t="shared" si="81"/>
        <v>9000</v>
      </c>
      <c r="P104" s="107">
        <f t="shared" si="81"/>
        <v>9000</v>
      </c>
    </row>
    <row r="105" spans="1:16" s="2" customFormat="1" x14ac:dyDescent="0.25">
      <c r="A105" s="2">
        <v>340</v>
      </c>
      <c r="B105" s="18" t="s">
        <v>490</v>
      </c>
      <c r="C105" s="298" t="s">
        <v>643</v>
      </c>
      <c r="D105" s="96">
        <v>18000</v>
      </c>
      <c r="E105" s="107">
        <f>$D105</f>
        <v>18000</v>
      </c>
      <c r="F105" s="107">
        <f t="shared" si="81"/>
        <v>18000</v>
      </c>
      <c r="G105" s="107">
        <f t="shared" si="81"/>
        <v>18000</v>
      </c>
      <c r="H105" s="107">
        <f t="shared" si="81"/>
        <v>18000</v>
      </c>
      <c r="I105" s="107">
        <f t="shared" si="81"/>
        <v>18000</v>
      </c>
      <c r="J105" s="107">
        <f t="shared" si="81"/>
        <v>18000</v>
      </c>
      <c r="K105" s="107">
        <f t="shared" si="81"/>
        <v>18000</v>
      </c>
      <c r="L105" s="107">
        <f t="shared" si="81"/>
        <v>18000</v>
      </c>
      <c r="M105" s="107">
        <f t="shared" si="81"/>
        <v>18000</v>
      </c>
      <c r="N105" s="107">
        <f t="shared" si="81"/>
        <v>18000</v>
      </c>
      <c r="O105" s="107">
        <f t="shared" si="81"/>
        <v>18000</v>
      </c>
      <c r="P105" s="107">
        <f t="shared" si="81"/>
        <v>18000</v>
      </c>
    </row>
    <row r="106" spans="1:16" s="2" customFormat="1" hidden="1" outlineLevel="1" x14ac:dyDescent="0.25">
      <c r="A106" s="62">
        <v>6340</v>
      </c>
      <c r="B106" s="198" t="s">
        <v>615</v>
      </c>
      <c r="C106" s="298" t="s">
        <v>643</v>
      </c>
      <c r="D106" s="96">
        <v>3500</v>
      </c>
      <c r="E106" s="107">
        <f>$D106</f>
        <v>3500</v>
      </c>
      <c r="F106" s="107">
        <f t="shared" si="81"/>
        <v>3500</v>
      </c>
      <c r="G106" s="107">
        <f t="shared" si="81"/>
        <v>3500</v>
      </c>
      <c r="H106" s="107">
        <f t="shared" si="81"/>
        <v>3500</v>
      </c>
      <c r="I106" s="107">
        <f t="shared" si="81"/>
        <v>3500</v>
      </c>
      <c r="J106" s="107">
        <f t="shared" si="81"/>
        <v>3500</v>
      </c>
      <c r="K106" s="107">
        <f t="shared" si="81"/>
        <v>3500</v>
      </c>
      <c r="L106" s="107">
        <f t="shared" si="81"/>
        <v>3500</v>
      </c>
      <c r="M106" s="107">
        <f t="shared" si="81"/>
        <v>3500</v>
      </c>
      <c r="N106" s="107">
        <f t="shared" si="81"/>
        <v>3500</v>
      </c>
      <c r="O106" s="107">
        <f t="shared" si="81"/>
        <v>3500</v>
      </c>
      <c r="P106" s="107">
        <f t="shared" si="81"/>
        <v>3500</v>
      </c>
    </row>
    <row r="107" spans="1:16" s="2" customFormat="1" hidden="1" outlineLevel="1" x14ac:dyDescent="0.25">
      <c r="A107" s="62">
        <v>6345</v>
      </c>
      <c r="B107" s="18" t="s">
        <v>616</v>
      </c>
      <c r="C107" s="298" t="s">
        <v>643</v>
      </c>
      <c r="D107" s="96">
        <v>4500</v>
      </c>
      <c r="E107" s="32">
        <f>$D107</f>
        <v>4500</v>
      </c>
      <c r="F107" s="32">
        <f t="shared" si="81"/>
        <v>4500</v>
      </c>
      <c r="G107" s="32">
        <f t="shared" si="81"/>
        <v>4500</v>
      </c>
      <c r="H107" s="32">
        <f t="shared" si="81"/>
        <v>4500</v>
      </c>
      <c r="I107" s="32">
        <f t="shared" si="81"/>
        <v>4500</v>
      </c>
      <c r="J107" s="32">
        <f t="shared" si="81"/>
        <v>4500</v>
      </c>
      <c r="K107" s="32">
        <f t="shared" si="81"/>
        <v>4500</v>
      </c>
      <c r="L107" s="32">
        <f t="shared" si="81"/>
        <v>4500</v>
      </c>
      <c r="M107" s="32">
        <f t="shared" si="81"/>
        <v>4500</v>
      </c>
      <c r="N107" s="32">
        <f t="shared" si="81"/>
        <v>4500</v>
      </c>
      <c r="O107" s="32">
        <f t="shared" si="81"/>
        <v>4500</v>
      </c>
      <c r="P107" s="32">
        <f t="shared" si="81"/>
        <v>4500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0">
        <f>SUM(E106:E107)</f>
        <v>8000</v>
      </c>
      <c r="F108" s="10">
        <f t="shared" ref="F108:P108" si="82">SUM(F106:F107)</f>
        <v>8000</v>
      </c>
      <c r="G108" s="10">
        <f>SUM(G106:G107)</f>
        <v>8000</v>
      </c>
      <c r="H108" s="10">
        <f t="shared" si="82"/>
        <v>8000</v>
      </c>
      <c r="I108" s="10">
        <f t="shared" si="82"/>
        <v>8000</v>
      </c>
      <c r="J108" s="10">
        <f t="shared" si="82"/>
        <v>8000</v>
      </c>
      <c r="K108" s="10">
        <f t="shared" si="82"/>
        <v>8000</v>
      </c>
      <c r="L108" s="10">
        <f t="shared" si="82"/>
        <v>8000</v>
      </c>
      <c r="M108" s="10">
        <f t="shared" si="82"/>
        <v>8000</v>
      </c>
      <c r="N108" s="10">
        <f t="shared" si="82"/>
        <v>8000</v>
      </c>
      <c r="O108" s="10">
        <f t="shared" si="82"/>
        <v>8000</v>
      </c>
      <c r="P108" s="10">
        <f t="shared" si="82"/>
        <v>8000</v>
      </c>
    </row>
    <row r="109" spans="1:16" s="2" customFormat="1" x14ac:dyDescent="0.25">
      <c r="A109" s="2">
        <v>350</v>
      </c>
      <c r="B109" s="18" t="s">
        <v>493</v>
      </c>
      <c r="C109" s="298" t="s">
        <v>648</v>
      </c>
      <c r="D109" s="164">
        <v>30</v>
      </c>
      <c r="E109" s="107">
        <f>ROUND(($D109*(1+E$11))*100,0)</f>
        <v>3000</v>
      </c>
      <c r="F109" s="107">
        <f t="shared" ref="F109:P109" si="83">ROUND(($D109*(1+F$11))*100,0)</f>
        <v>3060</v>
      </c>
      <c r="G109" s="107">
        <f t="shared" si="83"/>
        <v>3120</v>
      </c>
      <c r="H109" s="107">
        <f t="shared" si="83"/>
        <v>3180</v>
      </c>
      <c r="I109" s="107">
        <f t="shared" si="83"/>
        <v>3240</v>
      </c>
      <c r="J109" s="107">
        <f t="shared" si="83"/>
        <v>3300</v>
      </c>
      <c r="K109" s="107">
        <f t="shared" si="83"/>
        <v>3360</v>
      </c>
      <c r="L109" s="107">
        <f t="shared" si="83"/>
        <v>3420</v>
      </c>
      <c r="M109" s="107">
        <f t="shared" si="83"/>
        <v>3480</v>
      </c>
      <c r="N109" s="107">
        <f t="shared" si="83"/>
        <v>3540</v>
      </c>
      <c r="O109" s="107">
        <f t="shared" si="83"/>
        <v>3600</v>
      </c>
      <c r="P109" s="107">
        <f t="shared" si="83"/>
        <v>3660</v>
      </c>
    </row>
    <row r="110" spans="1:16" s="2" customFormat="1" hidden="1" outlineLevel="1" x14ac:dyDescent="0.25">
      <c r="A110" s="62">
        <v>6351</v>
      </c>
      <c r="B110" s="133" t="s">
        <v>487</v>
      </c>
      <c r="C110" s="298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8" t="s">
        <v>701</v>
      </c>
      <c r="D111" s="199">
        <v>40</v>
      </c>
      <c r="E111" s="10">
        <f>ROUND((($D111*(1+E$11))*E$182*0.75),0)</f>
        <v>22500</v>
      </c>
      <c r="F111" s="10">
        <f t="shared" ref="F111:P111" si="85">ROUND((($D111*(1+F$11))*F$182*0.75),0)</f>
        <v>26163</v>
      </c>
      <c r="G111" s="10">
        <f t="shared" si="85"/>
        <v>31200</v>
      </c>
      <c r="H111" s="10">
        <f t="shared" si="85"/>
        <v>34026</v>
      </c>
      <c r="I111" s="10">
        <f t="shared" si="85"/>
        <v>36288</v>
      </c>
      <c r="J111" s="10">
        <f t="shared" si="85"/>
        <v>38280</v>
      </c>
      <c r="K111" s="10">
        <f t="shared" si="85"/>
        <v>40387</v>
      </c>
      <c r="L111" s="10">
        <f t="shared" si="85"/>
        <v>42545</v>
      </c>
      <c r="M111" s="10">
        <f t="shared" si="85"/>
        <v>44927</v>
      </c>
      <c r="N111" s="10">
        <f t="shared" si="85"/>
        <v>47365</v>
      </c>
      <c r="O111" s="10">
        <f t="shared" si="85"/>
        <v>49932</v>
      </c>
      <c r="P111" s="10">
        <f t="shared" si="85"/>
        <v>52631</v>
      </c>
    </row>
    <row r="112" spans="1:16" s="2" customFormat="1" hidden="1" outlineLevel="1" x14ac:dyDescent="0.25">
      <c r="A112" s="62">
        <v>6351</v>
      </c>
      <c r="B112" s="133" t="s">
        <v>442</v>
      </c>
      <c r="C112" s="298" t="s">
        <v>702</v>
      </c>
      <c r="D112" s="199">
        <v>7</v>
      </c>
      <c r="E112" s="10">
        <f>ROUND((($D112*(1+E$11))*E$182),0)</f>
        <v>5250</v>
      </c>
      <c r="F112" s="10">
        <f t="shared" ref="F112:P113" si="86">ROUND((($D112*(1+F$11))*F$182),0)</f>
        <v>6105</v>
      </c>
      <c r="G112" s="10">
        <f t="shared" si="86"/>
        <v>7280</v>
      </c>
      <c r="H112" s="10">
        <f t="shared" si="86"/>
        <v>7939</v>
      </c>
      <c r="I112" s="10">
        <f t="shared" si="86"/>
        <v>8467</v>
      </c>
      <c r="J112" s="10">
        <f t="shared" si="86"/>
        <v>8932</v>
      </c>
      <c r="K112" s="10">
        <f t="shared" si="86"/>
        <v>9424</v>
      </c>
      <c r="L112" s="10">
        <f t="shared" si="86"/>
        <v>9927</v>
      </c>
      <c r="M112" s="10">
        <f t="shared" si="86"/>
        <v>10483</v>
      </c>
      <c r="N112" s="10">
        <f t="shared" si="86"/>
        <v>11052</v>
      </c>
      <c r="O112" s="10">
        <f t="shared" si="86"/>
        <v>11651</v>
      </c>
      <c r="P112" s="10">
        <f t="shared" si="86"/>
        <v>12281</v>
      </c>
    </row>
    <row r="113" spans="1:16" s="2" customFormat="1" hidden="1" outlineLevel="1" x14ac:dyDescent="0.25">
      <c r="A113" s="62">
        <v>6351</v>
      </c>
      <c r="B113" s="198" t="s">
        <v>763</v>
      </c>
      <c r="C113" s="298" t="s">
        <v>702</v>
      </c>
      <c r="D113" s="199">
        <v>10</v>
      </c>
      <c r="E113" s="11">
        <f>ROUND((($D113*(1+E$11))*E$182),0)</f>
        <v>7500</v>
      </c>
      <c r="F113" s="11">
        <f t="shared" si="86"/>
        <v>8721</v>
      </c>
      <c r="G113" s="11">
        <f t="shared" si="86"/>
        <v>10400</v>
      </c>
      <c r="H113" s="11">
        <f t="shared" si="86"/>
        <v>11342</v>
      </c>
      <c r="I113" s="11">
        <f t="shared" si="86"/>
        <v>12096</v>
      </c>
      <c r="J113" s="11">
        <f t="shared" si="86"/>
        <v>12760</v>
      </c>
      <c r="K113" s="11">
        <f t="shared" si="86"/>
        <v>13462</v>
      </c>
      <c r="L113" s="11">
        <f t="shared" si="86"/>
        <v>14182</v>
      </c>
      <c r="M113" s="11">
        <f t="shared" si="86"/>
        <v>14976</v>
      </c>
      <c r="N113" s="11">
        <f t="shared" si="86"/>
        <v>15788</v>
      </c>
      <c r="O113" s="11">
        <f t="shared" si="86"/>
        <v>16644</v>
      </c>
      <c r="P113" s="11">
        <f t="shared" si="86"/>
        <v>17544</v>
      </c>
    </row>
    <row r="114" spans="1:16" s="2" customFormat="1" collapsed="1" x14ac:dyDescent="0.25">
      <c r="A114" s="2">
        <v>351</v>
      </c>
      <c r="B114" s="18" t="s">
        <v>494</v>
      </c>
      <c r="C114" s="203"/>
      <c r="D114" s="162"/>
      <c r="E114" s="10">
        <f>SUM(E110:E113)</f>
        <v>35250</v>
      </c>
      <c r="F114" s="10">
        <f t="shared" ref="F114:P114" si="87">SUM(F110:F113)</f>
        <v>40989</v>
      </c>
      <c r="G114" s="10">
        <f t="shared" si="87"/>
        <v>48880</v>
      </c>
      <c r="H114" s="10">
        <f t="shared" si="87"/>
        <v>53307</v>
      </c>
      <c r="I114" s="10">
        <f t="shared" si="87"/>
        <v>56851</v>
      </c>
      <c r="J114" s="10">
        <f t="shared" si="87"/>
        <v>59972</v>
      </c>
      <c r="K114" s="10">
        <f t="shared" si="87"/>
        <v>63273</v>
      </c>
      <c r="L114" s="10">
        <f t="shared" si="87"/>
        <v>66654</v>
      </c>
      <c r="M114" s="10">
        <f t="shared" si="87"/>
        <v>70386</v>
      </c>
      <c r="N114" s="10">
        <f t="shared" si="87"/>
        <v>74205</v>
      </c>
      <c r="O114" s="10">
        <f t="shared" si="87"/>
        <v>78227</v>
      </c>
      <c r="P114" s="10">
        <f t="shared" si="87"/>
        <v>82456</v>
      </c>
    </row>
    <row r="115" spans="1:16" s="2" customFormat="1" hidden="1" outlineLevel="1" x14ac:dyDescent="0.25">
      <c r="A115" s="62">
        <v>6410</v>
      </c>
      <c r="B115" s="18" t="s">
        <v>443</v>
      </c>
      <c r="C115" s="203" t="s">
        <v>592</v>
      </c>
      <c r="D115" s="85">
        <v>0</v>
      </c>
      <c r="E115" s="10">
        <f>($D115*12)*(1+E$11)</f>
        <v>0</v>
      </c>
      <c r="F115" s="10">
        <f t="shared" ref="F115:P115" si="88">($D115*12)*(1+F$11)</f>
        <v>0</v>
      </c>
      <c r="G115" s="10">
        <f t="shared" si="88"/>
        <v>0</v>
      </c>
      <c r="H115" s="10">
        <f t="shared" si="88"/>
        <v>0</v>
      </c>
      <c r="I115" s="10">
        <f t="shared" si="88"/>
        <v>0</v>
      </c>
      <c r="J115" s="10">
        <f t="shared" si="88"/>
        <v>0</v>
      </c>
      <c r="K115" s="10">
        <f t="shared" si="88"/>
        <v>0</v>
      </c>
      <c r="L115" s="10">
        <f t="shared" si="88"/>
        <v>0</v>
      </c>
      <c r="M115" s="10">
        <f t="shared" si="88"/>
        <v>0</v>
      </c>
      <c r="N115" s="10">
        <f t="shared" si="88"/>
        <v>0</v>
      </c>
      <c r="O115" s="10">
        <f t="shared" si="88"/>
        <v>0</v>
      </c>
      <c r="P115" s="10">
        <f t="shared" si="88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307" t="s">
        <v>591</v>
      </c>
      <c r="D116" s="85">
        <v>0</v>
      </c>
      <c r="E116" s="10">
        <f>$D116*12</f>
        <v>0</v>
      </c>
      <c r="F116" s="10">
        <f t="shared" ref="F116:P116" si="89">$D116*12</f>
        <v>0</v>
      </c>
      <c r="G116" s="10">
        <f t="shared" si="89"/>
        <v>0</v>
      </c>
      <c r="H116" s="10">
        <f t="shared" si="89"/>
        <v>0</v>
      </c>
      <c r="I116" s="10">
        <f t="shared" si="89"/>
        <v>0</v>
      </c>
      <c r="J116" s="10">
        <f t="shared" si="89"/>
        <v>0</v>
      </c>
      <c r="K116" s="10">
        <f t="shared" si="89"/>
        <v>0</v>
      </c>
      <c r="L116" s="10">
        <f t="shared" si="89"/>
        <v>0</v>
      </c>
      <c r="M116" s="10">
        <f t="shared" si="89"/>
        <v>0</v>
      </c>
      <c r="N116" s="10">
        <f t="shared" si="89"/>
        <v>0</v>
      </c>
      <c r="O116" s="10">
        <f t="shared" si="89"/>
        <v>0</v>
      </c>
      <c r="P116" s="10">
        <f t="shared" si="89"/>
        <v>0</v>
      </c>
    </row>
    <row r="117" spans="1:16" s="2" customFormat="1" hidden="1" outlineLevel="1" x14ac:dyDescent="0.25">
      <c r="A117" s="2">
        <v>6430</v>
      </c>
      <c r="B117" s="18" t="s">
        <v>463</v>
      </c>
      <c r="C117" s="203" t="s">
        <v>636</v>
      </c>
      <c r="D117" s="85">
        <v>0</v>
      </c>
      <c r="E117" s="11">
        <f>ROUND(($D117*12),0)</f>
        <v>0</v>
      </c>
      <c r="F117" s="11">
        <f t="shared" ref="F117:P117" si="90">ROUND(($D117*12),0)</f>
        <v>0</v>
      </c>
      <c r="G117" s="11">
        <f t="shared" si="90"/>
        <v>0</v>
      </c>
      <c r="H117" s="11">
        <f t="shared" si="90"/>
        <v>0</v>
      </c>
      <c r="I117" s="11">
        <f t="shared" si="90"/>
        <v>0</v>
      </c>
      <c r="J117" s="11">
        <f t="shared" si="90"/>
        <v>0</v>
      </c>
      <c r="K117" s="11">
        <f t="shared" si="90"/>
        <v>0</v>
      </c>
      <c r="L117" s="11">
        <f t="shared" si="90"/>
        <v>0</v>
      </c>
      <c r="M117" s="11">
        <f t="shared" si="90"/>
        <v>0</v>
      </c>
      <c r="N117" s="11">
        <f t="shared" si="90"/>
        <v>0</v>
      </c>
      <c r="O117" s="11">
        <f t="shared" si="90"/>
        <v>0</v>
      </c>
      <c r="P117" s="11">
        <f t="shared" si="90"/>
        <v>0</v>
      </c>
    </row>
    <row r="118" spans="1:16" s="2" customFormat="1" collapsed="1" x14ac:dyDescent="0.25">
      <c r="A118" s="2">
        <v>400</v>
      </c>
      <c r="B118" s="18" t="s">
        <v>445</v>
      </c>
      <c r="E118" s="10">
        <f>SUM(E115:E117)</f>
        <v>0</v>
      </c>
      <c r="F118" s="10">
        <f t="shared" ref="F118:P118" si="91">SUM(F115:F117)</f>
        <v>0</v>
      </c>
      <c r="G118" s="10">
        <f t="shared" si="91"/>
        <v>0</v>
      </c>
      <c r="H118" s="10">
        <f t="shared" si="91"/>
        <v>0</v>
      </c>
      <c r="I118" s="10">
        <f t="shared" si="91"/>
        <v>0</v>
      </c>
      <c r="J118" s="10">
        <f t="shared" si="91"/>
        <v>0</v>
      </c>
      <c r="K118" s="10">
        <f t="shared" si="91"/>
        <v>0</v>
      </c>
      <c r="L118" s="10">
        <f t="shared" si="91"/>
        <v>0</v>
      </c>
      <c r="M118" s="10">
        <f t="shared" si="91"/>
        <v>0</v>
      </c>
      <c r="N118" s="10">
        <f t="shared" si="91"/>
        <v>0</v>
      </c>
      <c r="O118" s="10">
        <f t="shared" si="91"/>
        <v>0</v>
      </c>
      <c r="P118" s="10">
        <f t="shared" si="91"/>
        <v>0</v>
      </c>
    </row>
    <row r="119" spans="1:16" s="2" customFormat="1" x14ac:dyDescent="0.25">
      <c r="A119" s="2">
        <v>440</v>
      </c>
      <c r="B119" s="18" t="s">
        <v>464</v>
      </c>
      <c r="C119" s="203" t="s">
        <v>590</v>
      </c>
      <c r="D119" s="85">
        <v>0</v>
      </c>
      <c r="E119" s="10">
        <f>E$224</f>
        <v>0</v>
      </c>
      <c r="F119" s="10">
        <f t="shared" ref="F119:P119" si="92">F$224</f>
        <v>0</v>
      </c>
      <c r="G119" s="10">
        <f t="shared" si="92"/>
        <v>0</v>
      </c>
      <c r="H119" s="10">
        <f t="shared" si="92"/>
        <v>0</v>
      </c>
      <c r="I119" s="10">
        <f t="shared" si="92"/>
        <v>0</v>
      </c>
      <c r="J119" s="10">
        <f t="shared" si="92"/>
        <v>0</v>
      </c>
      <c r="K119" s="10">
        <f t="shared" si="92"/>
        <v>0</v>
      </c>
      <c r="L119" s="10">
        <f t="shared" si="92"/>
        <v>0</v>
      </c>
      <c r="M119" s="10">
        <f t="shared" si="92"/>
        <v>0</v>
      </c>
      <c r="N119" s="10">
        <f t="shared" si="92"/>
        <v>0</v>
      </c>
      <c r="O119" s="10">
        <f t="shared" si="92"/>
        <v>0</v>
      </c>
      <c r="P119" s="10">
        <f t="shared" si="92"/>
        <v>0</v>
      </c>
    </row>
    <row r="120" spans="1:16" s="2" customFormat="1" x14ac:dyDescent="0.25">
      <c r="A120" s="2">
        <v>440</v>
      </c>
      <c r="B120" s="18" t="s">
        <v>585</v>
      </c>
      <c r="C120" s="298" t="s">
        <v>589</v>
      </c>
      <c r="D120" s="85">
        <v>55000</v>
      </c>
      <c r="E120" s="10">
        <f>$D120*(1+E$11)</f>
        <v>55000</v>
      </c>
      <c r="F120" s="10">
        <f t="shared" ref="F120:P120" si="93">$D120*(1+F$11)</f>
        <v>56100</v>
      </c>
      <c r="G120" s="10">
        <f t="shared" si="93"/>
        <v>57200</v>
      </c>
      <c r="H120" s="10">
        <f t="shared" si="93"/>
        <v>58300</v>
      </c>
      <c r="I120" s="10">
        <f t="shared" si="93"/>
        <v>59400.000000000007</v>
      </c>
      <c r="J120" s="10">
        <f t="shared" si="93"/>
        <v>60500.000000000007</v>
      </c>
      <c r="K120" s="10">
        <f t="shared" si="93"/>
        <v>61600.000000000007</v>
      </c>
      <c r="L120" s="10">
        <f t="shared" si="93"/>
        <v>62700.000000000007</v>
      </c>
      <c r="M120" s="10">
        <f t="shared" si="93"/>
        <v>63799.999999999993</v>
      </c>
      <c r="N120" s="10">
        <f t="shared" si="93"/>
        <v>64900</v>
      </c>
      <c r="O120" s="10">
        <f t="shared" si="93"/>
        <v>66000</v>
      </c>
      <c r="P120" s="10">
        <f t="shared" si="93"/>
        <v>67100</v>
      </c>
    </row>
    <row r="121" spans="1:16" s="2" customFormat="1" hidden="1" outlineLevel="1" x14ac:dyDescent="0.25">
      <c r="A121" s="2">
        <v>6519</v>
      </c>
      <c r="B121" s="18" t="s">
        <v>448</v>
      </c>
      <c r="C121" s="203" t="s">
        <v>649</v>
      </c>
      <c r="D121" s="85">
        <v>0</v>
      </c>
      <c r="E121" s="10">
        <f>($D121*(1+E$11)*12)</f>
        <v>0</v>
      </c>
      <c r="F121" s="10">
        <f t="shared" ref="F121:P125" si="94">($D121*(1+F$11)*12)</f>
        <v>0</v>
      </c>
      <c r="G121" s="10">
        <f t="shared" si="94"/>
        <v>0</v>
      </c>
      <c r="H121" s="10">
        <f t="shared" si="94"/>
        <v>0</v>
      </c>
      <c r="I121" s="10">
        <f t="shared" si="94"/>
        <v>0</v>
      </c>
      <c r="J121" s="10">
        <f t="shared" si="94"/>
        <v>0</v>
      </c>
      <c r="K121" s="10">
        <f t="shared" si="94"/>
        <v>0</v>
      </c>
      <c r="L121" s="10">
        <f t="shared" si="94"/>
        <v>0</v>
      </c>
      <c r="M121" s="10">
        <f t="shared" si="94"/>
        <v>0</v>
      </c>
      <c r="N121" s="10">
        <f t="shared" si="94"/>
        <v>0</v>
      </c>
      <c r="O121" s="10">
        <f t="shared" si="94"/>
        <v>0</v>
      </c>
      <c r="P121" s="10">
        <f t="shared" si="94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5" t="s">
        <v>650</v>
      </c>
      <c r="D122" s="85">
        <v>120</v>
      </c>
      <c r="E122" s="10">
        <f>($D122*(1+E$11)*12)</f>
        <v>1440</v>
      </c>
      <c r="F122" s="10">
        <f t="shared" si="94"/>
        <v>1468.8000000000002</v>
      </c>
      <c r="G122" s="10">
        <f t="shared" si="94"/>
        <v>1497.6000000000001</v>
      </c>
      <c r="H122" s="10">
        <f t="shared" si="94"/>
        <v>1526.4</v>
      </c>
      <c r="I122" s="10">
        <f t="shared" si="94"/>
        <v>1555.2000000000003</v>
      </c>
      <c r="J122" s="10">
        <f t="shared" si="94"/>
        <v>1584</v>
      </c>
      <c r="K122" s="10">
        <f t="shared" si="94"/>
        <v>1612.8000000000002</v>
      </c>
      <c r="L122" s="10">
        <f t="shared" si="94"/>
        <v>1641.6000000000001</v>
      </c>
      <c r="M122" s="10">
        <f t="shared" si="94"/>
        <v>1670.3999999999999</v>
      </c>
      <c r="N122" s="10">
        <f t="shared" si="94"/>
        <v>1699.1999999999998</v>
      </c>
      <c r="O122" s="10">
        <f t="shared" si="94"/>
        <v>1728</v>
      </c>
      <c r="P122" s="10">
        <f t="shared" si="94"/>
        <v>1756.8000000000002</v>
      </c>
    </row>
    <row r="123" spans="1:16" s="2" customFormat="1" hidden="1" outlineLevel="1" x14ac:dyDescent="0.25">
      <c r="A123" s="2">
        <v>6534</v>
      </c>
      <c r="B123" s="18" t="s">
        <v>454</v>
      </c>
      <c r="C123" s="305" t="s">
        <v>650</v>
      </c>
      <c r="D123" s="164">
        <v>280</v>
      </c>
      <c r="E123" s="10">
        <f>($D123*(1+E$11)*12)</f>
        <v>3360</v>
      </c>
      <c r="F123" s="10">
        <f t="shared" si="94"/>
        <v>3427.2000000000003</v>
      </c>
      <c r="G123" s="10">
        <f t="shared" si="94"/>
        <v>3494.3999999999996</v>
      </c>
      <c r="H123" s="10">
        <f t="shared" si="94"/>
        <v>3561.6000000000004</v>
      </c>
      <c r="I123" s="10">
        <f t="shared" si="94"/>
        <v>3628.8</v>
      </c>
      <c r="J123" s="10">
        <f t="shared" si="94"/>
        <v>3696</v>
      </c>
      <c r="K123" s="10">
        <f t="shared" si="94"/>
        <v>3763.2000000000003</v>
      </c>
      <c r="L123" s="10">
        <f t="shared" si="94"/>
        <v>3830.4000000000005</v>
      </c>
      <c r="M123" s="10">
        <f t="shared" si="94"/>
        <v>3897.5999999999995</v>
      </c>
      <c r="N123" s="10">
        <f t="shared" si="94"/>
        <v>3964.7999999999997</v>
      </c>
      <c r="O123" s="10">
        <f t="shared" si="94"/>
        <v>4032</v>
      </c>
      <c r="P123" s="10">
        <f t="shared" si="94"/>
        <v>4099.2</v>
      </c>
    </row>
    <row r="124" spans="1:16" s="2" customFormat="1" hidden="1" outlineLevel="1" x14ac:dyDescent="0.25">
      <c r="A124" s="2">
        <v>6535</v>
      </c>
      <c r="B124" s="18" t="s">
        <v>455</v>
      </c>
      <c r="C124" s="203" t="s">
        <v>623</v>
      </c>
      <c r="D124" s="85">
        <v>0</v>
      </c>
      <c r="E124" s="10">
        <f>($D124*(1+E$11)*12)</f>
        <v>0</v>
      </c>
      <c r="F124" s="10">
        <f t="shared" si="94"/>
        <v>0</v>
      </c>
      <c r="G124" s="10">
        <f t="shared" si="94"/>
        <v>0</v>
      </c>
      <c r="H124" s="10">
        <f t="shared" si="94"/>
        <v>0</v>
      </c>
      <c r="I124" s="10">
        <f t="shared" si="94"/>
        <v>0</v>
      </c>
      <c r="J124" s="10">
        <f t="shared" si="94"/>
        <v>0</v>
      </c>
      <c r="K124" s="10">
        <f t="shared" si="94"/>
        <v>0</v>
      </c>
      <c r="L124" s="10">
        <f t="shared" si="94"/>
        <v>0</v>
      </c>
      <c r="M124" s="10">
        <f t="shared" si="94"/>
        <v>0</v>
      </c>
      <c r="N124" s="10">
        <f t="shared" si="94"/>
        <v>0</v>
      </c>
      <c r="O124" s="10">
        <f t="shared" si="94"/>
        <v>0</v>
      </c>
      <c r="P124" s="10">
        <f t="shared" si="94"/>
        <v>0</v>
      </c>
    </row>
    <row r="125" spans="1:16" s="2" customFormat="1" hidden="1" outlineLevel="1" x14ac:dyDescent="0.25">
      <c r="A125" s="2">
        <v>6535</v>
      </c>
      <c r="B125" s="18" t="s">
        <v>456</v>
      </c>
      <c r="C125" s="305" t="s">
        <v>650</v>
      </c>
      <c r="D125" s="85">
        <v>3000</v>
      </c>
      <c r="E125" s="11">
        <f>($D125*(1+E$11)*12)</f>
        <v>36000</v>
      </c>
      <c r="F125" s="11">
        <f t="shared" si="94"/>
        <v>36720</v>
      </c>
      <c r="G125" s="11">
        <f t="shared" si="94"/>
        <v>37440</v>
      </c>
      <c r="H125" s="11">
        <f t="shared" si="94"/>
        <v>38160</v>
      </c>
      <c r="I125" s="11">
        <f t="shared" si="94"/>
        <v>38880</v>
      </c>
      <c r="J125" s="11">
        <f t="shared" si="94"/>
        <v>39600.000000000007</v>
      </c>
      <c r="K125" s="11">
        <f t="shared" si="94"/>
        <v>40320.000000000007</v>
      </c>
      <c r="L125" s="11">
        <f t="shared" si="94"/>
        <v>41040.000000000007</v>
      </c>
      <c r="M125" s="11">
        <f t="shared" si="94"/>
        <v>41759.999999999993</v>
      </c>
      <c r="N125" s="11">
        <f t="shared" si="94"/>
        <v>42480</v>
      </c>
      <c r="O125" s="11">
        <f t="shared" si="94"/>
        <v>43200</v>
      </c>
      <c r="P125" s="11">
        <f t="shared" si="94"/>
        <v>43920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0">
        <f>SUM(E121:E125)</f>
        <v>40800</v>
      </c>
      <c r="F126" s="10">
        <f t="shared" ref="F126:P126" si="95">SUM(F121:F125)</f>
        <v>41616</v>
      </c>
      <c r="G126" s="10">
        <f t="shared" si="95"/>
        <v>42432</v>
      </c>
      <c r="H126" s="10">
        <f t="shared" si="95"/>
        <v>43248</v>
      </c>
      <c r="I126" s="10">
        <f t="shared" si="95"/>
        <v>44064</v>
      </c>
      <c r="J126" s="10">
        <f t="shared" si="95"/>
        <v>44880.000000000007</v>
      </c>
      <c r="K126" s="10">
        <f t="shared" si="95"/>
        <v>45696.000000000007</v>
      </c>
      <c r="L126" s="10">
        <f t="shared" si="95"/>
        <v>46512.000000000007</v>
      </c>
      <c r="M126" s="10">
        <f t="shared" si="95"/>
        <v>47327.999999999993</v>
      </c>
      <c r="N126" s="10">
        <f t="shared" si="95"/>
        <v>48144</v>
      </c>
      <c r="O126" s="10">
        <f t="shared" si="95"/>
        <v>48960</v>
      </c>
      <c r="P126" s="10">
        <f t="shared" si="95"/>
        <v>49776</v>
      </c>
    </row>
    <row r="127" spans="1:16" s="2" customFormat="1" hidden="1" outlineLevel="1" x14ac:dyDescent="0.25">
      <c r="A127" s="2">
        <v>6521</v>
      </c>
      <c r="B127" s="18" t="s">
        <v>449</v>
      </c>
      <c r="C127" s="298" t="s">
        <v>588</v>
      </c>
      <c r="D127" s="196">
        <v>0</v>
      </c>
      <c r="E127" s="154">
        <f t="shared" ref="E127:P132" si="96">ROUND(($D127*(1+E$11)*E$182),0)</f>
        <v>0</v>
      </c>
      <c r="F127" s="154">
        <f t="shared" si="96"/>
        <v>0</v>
      </c>
      <c r="G127" s="154">
        <f t="shared" si="96"/>
        <v>0</v>
      </c>
      <c r="H127" s="154">
        <f t="shared" si="96"/>
        <v>0</v>
      </c>
      <c r="I127" s="154">
        <f t="shared" si="96"/>
        <v>0</v>
      </c>
      <c r="J127" s="154">
        <f t="shared" si="96"/>
        <v>0</v>
      </c>
      <c r="K127" s="154">
        <f t="shared" si="96"/>
        <v>0</v>
      </c>
      <c r="L127" s="154">
        <f t="shared" si="96"/>
        <v>0</v>
      </c>
      <c r="M127" s="154">
        <f t="shared" si="96"/>
        <v>0</v>
      </c>
      <c r="N127" s="154">
        <f t="shared" si="96"/>
        <v>0</v>
      </c>
      <c r="O127" s="154">
        <f t="shared" si="96"/>
        <v>0</v>
      </c>
      <c r="P127" s="154">
        <f t="shared" si="96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8" t="s">
        <v>588</v>
      </c>
      <c r="D128" s="196">
        <v>44</v>
      </c>
      <c r="E128" s="154">
        <f t="shared" si="96"/>
        <v>33000</v>
      </c>
      <c r="F128" s="154">
        <f t="shared" si="96"/>
        <v>38372</v>
      </c>
      <c r="G128" s="154">
        <f t="shared" si="96"/>
        <v>45760</v>
      </c>
      <c r="H128" s="154">
        <f t="shared" si="96"/>
        <v>49905</v>
      </c>
      <c r="I128" s="154">
        <f t="shared" si="96"/>
        <v>53222</v>
      </c>
      <c r="J128" s="154">
        <f t="shared" si="96"/>
        <v>56144</v>
      </c>
      <c r="K128" s="154">
        <f t="shared" si="96"/>
        <v>59235</v>
      </c>
      <c r="L128" s="154">
        <f t="shared" si="96"/>
        <v>62399</v>
      </c>
      <c r="M128" s="154">
        <f t="shared" si="96"/>
        <v>65893</v>
      </c>
      <c r="N128" s="154">
        <f t="shared" si="96"/>
        <v>69469</v>
      </c>
      <c r="O128" s="154">
        <f t="shared" si="96"/>
        <v>73234</v>
      </c>
      <c r="P128" s="154">
        <f t="shared" si="96"/>
        <v>77192</v>
      </c>
    </row>
    <row r="129" spans="1:16" s="2" customFormat="1" hidden="1" outlineLevel="1" x14ac:dyDescent="0.25">
      <c r="A129" s="2">
        <v>6522</v>
      </c>
      <c r="B129" s="18" t="s">
        <v>458</v>
      </c>
      <c r="C129" s="298" t="s">
        <v>588</v>
      </c>
      <c r="D129" s="196">
        <v>12</v>
      </c>
      <c r="E129" s="154">
        <f t="shared" si="96"/>
        <v>9000</v>
      </c>
      <c r="F129" s="154">
        <f t="shared" si="96"/>
        <v>10465</v>
      </c>
      <c r="G129" s="154">
        <f t="shared" si="96"/>
        <v>12480</v>
      </c>
      <c r="H129" s="154">
        <f t="shared" si="96"/>
        <v>13610</v>
      </c>
      <c r="I129" s="154">
        <f t="shared" si="96"/>
        <v>14515</v>
      </c>
      <c r="J129" s="154">
        <f t="shared" si="96"/>
        <v>15312</v>
      </c>
      <c r="K129" s="154">
        <f t="shared" si="96"/>
        <v>16155</v>
      </c>
      <c r="L129" s="154">
        <f t="shared" si="96"/>
        <v>17018</v>
      </c>
      <c r="M129" s="154">
        <f t="shared" si="96"/>
        <v>17971</v>
      </c>
      <c r="N129" s="154">
        <f t="shared" si="96"/>
        <v>18946</v>
      </c>
      <c r="O129" s="154">
        <f t="shared" si="96"/>
        <v>19973</v>
      </c>
      <c r="P129" s="154">
        <f t="shared" si="96"/>
        <v>21052</v>
      </c>
    </row>
    <row r="130" spans="1:16" s="2" customFormat="1" hidden="1" outlineLevel="1" x14ac:dyDescent="0.25">
      <c r="A130" s="2">
        <v>6523</v>
      </c>
      <c r="B130" s="18" t="s">
        <v>450</v>
      </c>
      <c r="C130" s="298" t="s">
        <v>588</v>
      </c>
      <c r="D130" s="196">
        <v>2</v>
      </c>
      <c r="E130" s="154">
        <f t="shared" si="96"/>
        <v>1500</v>
      </c>
      <c r="F130" s="154">
        <f t="shared" si="96"/>
        <v>1744</v>
      </c>
      <c r="G130" s="154">
        <f t="shared" si="96"/>
        <v>2080</v>
      </c>
      <c r="H130" s="154">
        <f t="shared" si="96"/>
        <v>2268</v>
      </c>
      <c r="I130" s="154">
        <f t="shared" si="96"/>
        <v>2419</v>
      </c>
      <c r="J130" s="154">
        <f t="shared" si="96"/>
        <v>2552</v>
      </c>
      <c r="K130" s="154">
        <f t="shared" si="96"/>
        <v>2692</v>
      </c>
      <c r="L130" s="154">
        <f t="shared" si="96"/>
        <v>2836</v>
      </c>
      <c r="M130" s="154">
        <f t="shared" si="96"/>
        <v>2995</v>
      </c>
      <c r="N130" s="154">
        <f t="shared" si="96"/>
        <v>3158</v>
      </c>
      <c r="O130" s="154">
        <f t="shared" si="96"/>
        <v>3329</v>
      </c>
      <c r="P130" s="154">
        <f t="shared" si="96"/>
        <v>3509</v>
      </c>
    </row>
    <row r="131" spans="1:16" s="2" customFormat="1" hidden="1" outlineLevel="1" x14ac:dyDescent="0.25">
      <c r="A131" s="2">
        <v>6523</v>
      </c>
      <c r="B131" s="18" t="s">
        <v>451</v>
      </c>
      <c r="C131" s="298" t="s">
        <v>588</v>
      </c>
      <c r="D131" s="196">
        <v>0.5</v>
      </c>
      <c r="E131" s="154">
        <f t="shared" si="96"/>
        <v>375</v>
      </c>
      <c r="F131" s="154">
        <f t="shared" si="96"/>
        <v>436</v>
      </c>
      <c r="G131" s="154">
        <f t="shared" si="96"/>
        <v>520</v>
      </c>
      <c r="H131" s="154">
        <f t="shared" si="96"/>
        <v>567</v>
      </c>
      <c r="I131" s="154">
        <f t="shared" si="96"/>
        <v>605</v>
      </c>
      <c r="J131" s="154">
        <f t="shared" si="96"/>
        <v>638</v>
      </c>
      <c r="K131" s="154">
        <f t="shared" si="96"/>
        <v>673</v>
      </c>
      <c r="L131" s="154">
        <f t="shared" si="96"/>
        <v>709</v>
      </c>
      <c r="M131" s="154">
        <f t="shared" si="96"/>
        <v>749</v>
      </c>
      <c r="N131" s="154">
        <f t="shared" si="96"/>
        <v>789</v>
      </c>
      <c r="O131" s="154">
        <f t="shared" si="96"/>
        <v>832</v>
      </c>
      <c r="P131" s="154">
        <f t="shared" si="96"/>
        <v>877</v>
      </c>
    </row>
    <row r="132" spans="1:16" s="2" customFormat="1" hidden="1" outlineLevel="1" x14ac:dyDescent="0.25">
      <c r="A132" s="2">
        <v>6523</v>
      </c>
      <c r="B132" s="18" t="s">
        <v>452</v>
      </c>
      <c r="C132" s="298" t="s">
        <v>588</v>
      </c>
      <c r="D132" s="196">
        <v>7.25</v>
      </c>
      <c r="E132" s="11">
        <f t="shared" si="96"/>
        <v>5438</v>
      </c>
      <c r="F132" s="11">
        <f t="shared" si="96"/>
        <v>6323</v>
      </c>
      <c r="G132" s="11">
        <f t="shared" si="96"/>
        <v>7540</v>
      </c>
      <c r="H132" s="11">
        <f t="shared" si="96"/>
        <v>8223</v>
      </c>
      <c r="I132" s="11">
        <f t="shared" si="96"/>
        <v>8770</v>
      </c>
      <c r="J132" s="11">
        <f t="shared" si="96"/>
        <v>9251</v>
      </c>
      <c r="K132" s="11">
        <f t="shared" si="96"/>
        <v>9760</v>
      </c>
      <c r="L132" s="11">
        <f t="shared" si="96"/>
        <v>10282</v>
      </c>
      <c r="M132" s="11">
        <f t="shared" si="96"/>
        <v>10857</v>
      </c>
      <c r="N132" s="11">
        <f t="shared" si="96"/>
        <v>11447</v>
      </c>
      <c r="O132" s="11">
        <f t="shared" si="96"/>
        <v>12067</v>
      </c>
      <c r="P132" s="11">
        <f t="shared" si="96"/>
        <v>12719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0">
        <f>SUM(E127:E132)</f>
        <v>49313</v>
      </c>
      <c r="F133" s="10">
        <f t="shared" ref="F133:P133" si="97">SUM(F127:F132)</f>
        <v>57340</v>
      </c>
      <c r="G133" s="10">
        <f t="shared" si="97"/>
        <v>68380</v>
      </c>
      <c r="H133" s="10">
        <f t="shared" si="97"/>
        <v>74573</v>
      </c>
      <c r="I133" s="10">
        <f t="shared" si="97"/>
        <v>79531</v>
      </c>
      <c r="J133" s="10">
        <f t="shared" si="97"/>
        <v>83897</v>
      </c>
      <c r="K133" s="10">
        <f t="shared" si="97"/>
        <v>88515</v>
      </c>
      <c r="L133" s="10">
        <f t="shared" si="97"/>
        <v>93244</v>
      </c>
      <c r="M133" s="10">
        <f t="shared" si="97"/>
        <v>98465</v>
      </c>
      <c r="N133" s="10">
        <f t="shared" si="97"/>
        <v>103809</v>
      </c>
      <c r="O133" s="10">
        <f t="shared" si="97"/>
        <v>109435</v>
      </c>
      <c r="P133" s="10">
        <f t="shared" si="97"/>
        <v>115349</v>
      </c>
    </row>
    <row r="134" spans="1:16" s="2" customFormat="1" x14ac:dyDescent="0.25">
      <c r="A134" s="2">
        <v>540</v>
      </c>
      <c r="B134" s="18" t="s">
        <v>79</v>
      </c>
      <c r="C134" s="298" t="s">
        <v>651</v>
      </c>
      <c r="D134" s="164">
        <v>29000</v>
      </c>
      <c r="E134" s="10">
        <f>$D134*(1+E$11)</f>
        <v>29000</v>
      </c>
      <c r="F134" s="10">
        <f t="shared" ref="F134:P134" si="98">$D134*(1+F$11)</f>
        <v>29580</v>
      </c>
      <c r="G134" s="10">
        <f t="shared" si="98"/>
        <v>30160</v>
      </c>
      <c r="H134" s="10">
        <f t="shared" si="98"/>
        <v>30740</v>
      </c>
      <c r="I134" s="10">
        <f t="shared" si="98"/>
        <v>31320.000000000004</v>
      </c>
      <c r="J134" s="10">
        <f t="shared" si="98"/>
        <v>31900.000000000004</v>
      </c>
      <c r="K134" s="10">
        <f t="shared" si="98"/>
        <v>32480.000000000004</v>
      </c>
      <c r="L134" s="10">
        <f t="shared" si="98"/>
        <v>33060</v>
      </c>
      <c r="M134" s="10">
        <f t="shared" si="98"/>
        <v>33640</v>
      </c>
      <c r="N134" s="10">
        <f t="shared" si="98"/>
        <v>34220</v>
      </c>
      <c r="O134" s="10">
        <f t="shared" si="98"/>
        <v>34800</v>
      </c>
      <c r="P134" s="10">
        <f t="shared" si="98"/>
        <v>35380</v>
      </c>
    </row>
    <row r="135" spans="1:16" s="2" customFormat="1" hidden="1" outlineLevel="1" x14ac:dyDescent="0.25">
      <c r="A135" s="2">
        <v>6569</v>
      </c>
      <c r="B135" s="18" t="s">
        <v>560</v>
      </c>
      <c r="C135" s="206" t="s">
        <v>586</v>
      </c>
      <c r="D135" s="85">
        <v>0</v>
      </c>
      <c r="E135" s="10">
        <f t="shared" ref="E135:P137" si="99">ROUND(($D135*E$182)*(1+E$11),0)</f>
        <v>0</v>
      </c>
      <c r="F135" s="10">
        <f t="shared" si="99"/>
        <v>0</v>
      </c>
      <c r="G135" s="10">
        <f t="shared" si="99"/>
        <v>0</v>
      </c>
      <c r="H135" s="10">
        <f t="shared" si="99"/>
        <v>0</v>
      </c>
      <c r="I135" s="10">
        <f t="shared" si="99"/>
        <v>0</v>
      </c>
      <c r="J135" s="10">
        <f t="shared" si="99"/>
        <v>0</v>
      </c>
      <c r="K135" s="10">
        <f t="shared" si="99"/>
        <v>0</v>
      </c>
      <c r="L135" s="10">
        <f t="shared" si="99"/>
        <v>0</v>
      </c>
      <c r="M135" s="10">
        <f t="shared" si="99"/>
        <v>0</v>
      </c>
      <c r="N135" s="10">
        <f t="shared" si="99"/>
        <v>0</v>
      </c>
      <c r="O135" s="10">
        <f t="shared" si="99"/>
        <v>0</v>
      </c>
      <c r="P135" s="10">
        <f t="shared" si="99"/>
        <v>0</v>
      </c>
    </row>
    <row r="136" spans="1:16" s="2" customFormat="1" hidden="1" outlineLevel="1" x14ac:dyDescent="0.25">
      <c r="A136" s="2">
        <v>6569</v>
      </c>
      <c r="B136" s="18" t="s">
        <v>561</v>
      </c>
      <c r="C136" s="206" t="s">
        <v>586</v>
      </c>
      <c r="D136" s="85">
        <v>0</v>
      </c>
      <c r="E136" s="10">
        <f t="shared" si="99"/>
        <v>0</v>
      </c>
      <c r="F136" s="10">
        <f t="shared" si="99"/>
        <v>0</v>
      </c>
      <c r="G136" s="10">
        <f t="shared" si="99"/>
        <v>0</v>
      </c>
      <c r="H136" s="10">
        <f t="shared" si="99"/>
        <v>0</v>
      </c>
      <c r="I136" s="10">
        <f t="shared" si="99"/>
        <v>0</v>
      </c>
      <c r="J136" s="10">
        <f t="shared" si="99"/>
        <v>0</v>
      </c>
      <c r="K136" s="10">
        <f t="shared" si="99"/>
        <v>0</v>
      </c>
      <c r="L136" s="10">
        <f t="shared" si="99"/>
        <v>0</v>
      </c>
      <c r="M136" s="10">
        <f t="shared" si="99"/>
        <v>0</v>
      </c>
      <c r="N136" s="10">
        <f t="shared" si="99"/>
        <v>0</v>
      </c>
      <c r="O136" s="10">
        <f t="shared" si="99"/>
        <v>0</v>
      </c>
      <c r="P136" s="10">
        <f t="shared" si="99"/>
        <v>0</v>
      </c>
    </row>
    <row r="137" spans="1:16" s="2" customFormat="1" hidden="1" outlineLevel="1" x14ac:dyDescent="0.25">
      <c r="A137" s="2">
        <v>6569</v>
      </c>
      <c r="B137" s="18" t="s">
        <v>562</v>
      </c>
      <c r="C137" s="206" t="s">
        <v>586</v>
      </c>
      <c r="D137" s="85">
        <v>0</v>
      </c>
      <c r="E137" s="11">
        <f t="shared" si="99"/>
        <v>0</v>
      </c>
      <c r="F137" s="11">
        <f t="shared" si="99"/>
        <v>0</v>
      </c>
      <c r="G137" s="11">
        <f t="shared" si="99"/>
        <v>0</v>
      </c>
      <c r="H137" s="11">
        <f t="shared" si="99"/>
        <v>0</v>
      </c>
      <c r="I137" s="11">
        <f t="shared" si="99"/>
        <v>0</v>
      </c>
      <c r="J137" s="11">
        <f t="shared" si="99"/>
        <v>0</v>
      </c>
      <c r="K137" s="11">
        <f t="shared" si="99"/>
        <v>0</v>
      </c>
      <c r="L137" s="11">
        <f t="shared" si="99"/>
        <v>0</v>
      </c>
      <c r="M137" s="11">
        <f t="shared" si="99"/>
        <v>0</v>
      </c>
      <c r="N137" s="11">
        <f t="shared" si="99"/>
        <v>0</v>
      </c>
      <c r="O137" s="11">
        <f t="shared" si="99"/>
        <v>0</v>
      </c>
      <c r="P137" s="11">
        <f t="shared" si="99"/>
        <v>0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0">
        <f>SUM(E135:E137)</f>
        <v>0</v>
      </c>
      <c r="F138" s="10">
        <f t="shared" ref="F138:P138" si="100">SUM(F135:F137)</f>
        <v>0</v>
      </c>
      <c r="G138" s="10">
        <f t="shared" si="100"/>
        <v>0</v>
      </c>
      <c r="H138" s="10">
        <f t="shared" si="100"/>
        <v>0</v>
      </c>
      <c r="I138" s="10">
        <f t="shared" si="100"/>
        <v>0</v>
      </c>
      <c r="J138" s="10">
        <f t="shared" si="100"/>
        <v>0</v>
      </c>
      <c r="K138" s="10">
        <f t="shared" si="100"/>
        <v>0</v>
      </c>
      <c r="L138" s="10">
        <f t="shared" si="100"/>
        <v>0</v>
      </c>
      <c r="M138" s="10">
        <f t="shared" si="100"/>
        <v>0</v>
      </c>
      <c r="N138" s="10">
        <f t="shared" si="100"/>
        <v>0</v>
      </c>
      <c r="O138" s="10">
        <f t="shared" si="100"/>
        <v>0</v>
      </c>
      <c r="P138" s="10">
        <f t="shared" si="100"/>
        <v>0</v>
      </c>
    </row>
    <row r="139" spans="1:16" s="2" customFormat="1" x14ac:dyDescent="0.25">
      <c r="A139" s="2">
        <v>580</v>
      </c>
      <c r="B139" s="18" t="s">
        <v>289</v>
      </c>
      <c r="C139" s="298" t="s">
        <v>652</v>
      </c>
      <c r="D139" s="85">
        <v>2000</v>
      </c>
      <c r="E139" s="10">
        <f t="shared" ref="E139:P139" si="101">ROUND(($D139*(1+E$11)*(E$205-E$202)),0)</f>
        <v>16000</v>
      </c>
      <c r="F139" s="10">
        <f t="shared" si="101"/>
        <v>16320</v>
      </c>
      <c r="G139" s="10">
        <f t="shared" si="101"/>
        <v>16640</v>
      </c>
      <c r="H139" s="10">
        <f t="shared" si="101"/>
        <v>16960</v>
      </c>
      <c r="I139" s="10">
        <f t="shared" si="101"/>
        <v>17280</v>
      </c>
      <c r="J139" s="10">
        <f t="shared" si="101"/>
        <v>17600</v>
      </c>
      <c r="K139" s="10">
        <f t="shared" si="101"/>
        <v>17920</v>
      </c>
      <c r="L139" s="10">
        <f t="shared" si="101"/>
        <v>18240</v>
      </c>
      <c r="M139" s="10">
        <f t="shared" si="101"/>
        <v>18560</v>
      </c>
      <c r="N139" s="10">
        <f t="shared" si="101"/>
        <v>18880</v>
      </c>
      <c r="O139" s="10">
        <f t="shared" si="101"/>
        <v>19200</v>
      </c>
      <c r="P139" s="10">
        <f t="shared" si="101"/>
        <v>19520</v>
      </c>
    </row>
    <row r="140" spans="1:16" s="2" customFormat="1" x14ac:dyDescent="0.25">
      <c r="A140" s="2">
        <v>610</v>
      </c>
      <c r="B140" s="18" t="s">
        <v>465</v>
      </c>
      <c r="C140" s="298" t="s">
        <v>653</v>
      </c>
      <c r="D140" s="85">
        <v>150</v>
      </c>
      <c r="E140" s="10">
        <f t="shared" ref="E140:P140" si="102">ROUND(($D140*(1+E$11)*(E$205-E$202))*12,0)</f>
        <v>14400</v>
      </c>
      <c r="F140" s="10">
        <f t="shared" si="102"/>
        <v>14688</v>
      </c>
      <c r="G140" s="10">
        <f t="shared" si="102"/>
        <v>14976</v>
      </c>
      <c r="H140" s="10">
        <f t="shared" si="102"/>
        <v>15264</v>
      </c>
      <c r="I140" s="10">
        <f t="shared" si="102"/>
        <v>15552</v>
      </c>
      <c r="J140" s="10">
        <f t="shared" si="102"/>
        <v>15840</v>
      </c>
      <c r="K140" s="10">
        <f t="shared" si="102"/>
        <v>16128</v>
      </c>
      <c r="L140" s="10">
        <f t="shared" si="102"/>
        <v>16416</v>
      </c>
      <c r="M140" s="10">
        <f t="shared" si="102"/>
        <v>16704</v>
      </c>
      <c r="N140" s="10">
        <f t="shared" si="102"/>
        <v>16992</v>
      </c>
      <c r="O140" s="10">
        <f t="shared" si="102"/>
        <v>17280</v>
      </c>
      <c r="P140" s="10">
        <f t="shared" si="102"/>
        <v>17568</v>
      </c>
    </row>
    <row r="141" spans="1:16" s="2" customFormat="1" x14ac:dyDescent="0.25">
      <c r="A141" s="2">
        <v>622</v>
      </c>
      <c r="B141" s="18" t="s">
        <v>466</v>
      </c>
      <c r="C141" s="306" t="s">
        <v>587</v>
      </c>
      <c r="D141" s="85">
        <v>0</v>
      </c>
      <c r="E141" s="10">
        <f>ROUND($D141*12*(1+E$11),0)</f>
        <v>0</v>
      </c>
      <c r="F141" s="10">
        <f t="shared" ref="F141:P141" si="103">ROUND($D141*12*(1+F$11),0)</f>
        <v>0</v>
      </c>
      <c r="G141" s="10">
        <f t="shared" si="103"/>
        <v>0</v>
      </c>
      <c r="H141" s="10">
        <f t="shared" si="103"/>
        <v>0</v>
      </c>
      <c r="I141" s="10">
        <f t="shared" si="103"/>
        <v>0</v>
      </c>
      <c r="J141" s="10">
        <f t="shared" si="103"/>
        <v>0</v>
      </c>
      <c r="K141" s="10">
        <f t="shared" si="103"/>
        <v>0</v>
      </c>
      <c r="L141" s="10">
        <f t="shared" si="103"/>
        <v>0</v>
      </c>
      <c r="M141" s="10">
        <f t="shared" si="103"/>
        <v>0</v>
      </c>
      <c r="N141" s="10">
        <f t="shared" si="103"/>
        <v>0</v>
      </c>
      <c r="O141" s="10">
        <f t="shared" si="103"/>
        <v>0</v>
      </c>
      <c r="P141" s="10">
        <f t="shared" si="103"/>
        <v>0</v>
      </c>
    </row>
    <row r="142" spans="1:16" s="2" customFormat="1" hidden="1" outlineLevel="1" x14ac:dyDescent="0.25">
      <c r="A142" s="2">
        <v>641</v>
      </c>
      <c r="B142" s="18" t="s">
        <v>53</v>
      </c>
      <c r="C142" s="308" t="s">
        <v>624</v>
      </c>
      <c r="D142" s="85">
        <v>0</v>
      </c>
      <c r="E142" s="10">
        <f t="shared" ref="E142:P144" si="104">ROUND(($D142*E$182)*(1+E$11),0)</f>
        <v>0</v>
      </c>
      <c r="F142" s="10">
        <f t="shared" si="104"/>
        <v>0</v>
      </c>
      <c r="G142" s="10">
        <f t="shared" si="104"/>
        <v>0</v>
      </c>
      <c r="H142" s="10">
        <f t="shared" si="104"/>
        <v>0</v>
      </c>
      <c r="I142" s="10">
        <f t="shared" si="104"/>
        <v>0</v>
      </c>
      <c r="J142" s="10">
        <f t="shared" si="104"/>
        <v>0</v>
      </c>
      <c r="K142" s="10">
        <f t="shared" si="104"/>
        <v>0</v>
      </c>
      <c r="L142" s="10">
        <f t="shared" si="104"/>
        <v>0</v>
      </c>
      <c r="M142" s="10">
        <f t="shared" si="104"/>
        <v>0</v>
      </c>
      <c r="N142" s="10">
        <f t="shared" si="104"/>
        <v>0</v>
      </c>
      <c r="O142" s="10">
        <f t="shared" si="104"/>
        <v>0</v>
      </c>
      <c r="P142" s="10">
        <f t="shared" si="104"/>
        <v>0</v>
      </c>
    </row>
    <row r="143" spans="1:16" s="2" customFormat="1" hidden="1" outlineLevel="1" x14ac:dyDescent="0.25">
      <c r="A143" s="2">
        <v>6641</v>
      </c>
      <c r="B143" s="18" t="s">
        <v>563</v>
      </c>
      <c r="C143" s="308" t="s">
        <v>586</v>
      </c>
      <c r="D143" s="85">
        <v>0</v>
      </c>
      <c r="E143" s="10">
        <f t="shared" si="104"/>
        <v>0</v>
      </c>
      <c r="F143" s="10">
        <f t="shared" si="104"/>
        <v>0</v>
      </c>
      <c r="G143" s="10">
        <f t="shared" si="104"/>
        <v>0</v>
      </c>
      <c r="H143" s="10">
        <f t="shared" si="104"/>
        <v>0</v>
      </c>
      <c r="I143" s="10">
        <f t="shared" si="104"/>
        <v>0</v>
      </c>
      <c r="J143" s="10">
        <f t="shared" si="104"/>
        <v>0</v>
      </c>
      <c r="K143" s="10">
        <f t="shared" si="104"/>
        <v>0</v>
      </c>
      <c r="L143" s="10">
        <f t="shared" si="104"/>
        <v>0</v>
      </c>
      <c r="M143" s="10">
        <f t="shared" si="104"/>
        <v>0</v>
      </c>
      <c r="N143" s="10">
        <f t="shared" si="104"/>
        <v>0</v>
      </c>
      <c r="O143" s="10">
        <f t="shared" si="104"/>
        <v>0</v>
      </c>
      <c r="P143" s="10">
        <f t="shared" si="104"/>
        <v>0</v>
      </c>
    </row>
    <row r="144" spans="1:16" s="2" customFormat="1" hidden="1" outlineLevel="1" x14ac:dyDescent="0.25">
      <c r="A144" s="2">
        <v>6641</v>
      </c>
      <c r="B144" s="18" t="s">
        <v>564</v>
      </c>
      <c r="C144" s="308" t="s">
        <v>586</v>
      </c>
      <c r="D144" s="85">
        <v>0</v>
      </c>
      <c r="E144" s="11">
        <f t="shared" si="104"/>
        <v>0</v>
      </c>
      <c r="F144" s="11">
        <f t="shared" si="104"/>
        <v>0</v>
      </c>
      <c r="G144" s="11">
        <f t="shared" si="104"/>
        <v>0</v>
      </c>
      <c r="H144" s="11">
        <f t="shared" si="104"/>
        <v>0</v>
      </c>
      <c r="I144" s="11">
        <f t="shared" si="104"/>
        <v>0</v>
      </c>
      <c r="J144" s="11">
        <f t="shared" si="104"/>
        <v>0</v>
      </c>
      <c r="K144" s="11">
        <f t="shared" si="104"/>
        <v>0</v>
      </c>
      <c r="L144" s="11">
        <f t="shared" si="104"/>
        <v>0</v>
      </c>
      <c r="M144" s="11">
        <f t="shared" si="104"/>
        <v>0</v>
      </c>
      <c r="N144" s="11">
        <f t="shared" si="104"/>
        <v>0</v>
      </c>
      <c r="O144" s="11">
        <f t="shared" si="104"/>
        <v>0</v>
      </c>
      <c r="P144" s="11">
        <f t="shared" si="104"/>
        <v>0</v>
      </c>
    </row>
    <row r="145" spans="1:16" s="2" customFormat="1" collapsed="1" x14ac:dyDescent="0.25">
      <c r="A145" s="2">
        <v>641</v>
      </c>
      <c r="B145" s="18" t="s">
        <v>565</v>
      </c>
      <c r="C145" s="306"/>
      <c r="D145" s="85"/>
      <c r="E145" s="10">
        <f>SUM(E142:E144)</f>
        <v>0</v>
      </c>
      <c r="F145" s="10">
        <f t="shared" ref="F145:P145" si="105">SUM(F142:F144)</f>
        <v>0</v>
      </c>
      <c r="G145" s="10">
        <f t="shared" si="105"/>
        <v>0</v>
      </c>
      <c r="H145" s="10">
        <f t="shared" si="105"/>
        <v>0</v>
      </c>
      <c r="I145" s="10">
        <f t="shared" si="105"/>
        <v>0</v>
      </c>
      <c r="J145" s="10">
        <f t="shared" si="105"/>
        <v>0</v>
      </c>
      <c r="K145" s="10">
        <f t="shared" si="105"/>
        <v>0</v>
      </c>
      <c r="L145" s="10">
        <f t="shared" si="105"/>
        <v>0</v>
      </c>
      <c r="M145" s="10">
        <f t="shared" si="105"/>
        <v>0</v>
      </c>
      <c r="N145" s="10">
        <f t="shared" si="105"/>
        <v>0</v>
      </c>
      <c r="O145" s="10">
        <f t="shared" si="105"/>
        <v>0</v>
      </c>
      <c r="P145" s="10">
        <f t="shared" si="105"/>
        <v>0</v>
      </c>
    </row>
    <row r="146" spans="1:16" s="2" customFormat="1" hidden="1" outlineLevel="1" x14ac:dyDescent="0.25">
      <c r="A146" s="2">
        <v>6642</v>
      </c>
      <c r="B146" s="18" t="s">
        <v>567</v>
      </c>
      <c r="C146" s="308" t="s">
        <v>586</v>
      </c>
      <c r="D146" s="85">
        <v>0</v>
      </c>
      <c r="E146" s="10">
        <f t="shared" ref="E146:P147" si="106">ROUND(($D146*E$182)*(1+E$11),0)</f>
        <v>0</v>
      </c>
      <c r="F146" s="10">
        <f t="shared" si="106"/>
        <v>0</v>
      </c>
      <c r="G146" s="10">
        <f t="shared" si="106"/>
        <v>0</v>
      </c>
      <c r="H146" s="10">
        <f t="shared" si="106"/>
        <v>0</v>
      </c>
      <c r="I146" s="10">
        <f t="shared" si="106"/>
        <v>0</v>
      </c>
      <c r="J146" s="10">
        <f t="shared" si="106"/>
        <v>0</v>
      </c>
      <c r="K146" s="10">
        <f t="shared" si="106"/>
        <v>0</v>
      </c>
      <c r="L146" s="10">
        <f t="shared" si="106"/>
        <v>0</v>
      </c>
      <c r="M146" s="10">
        <f t="shared" si="106"/>
        <v>0</v>
      </c>
      <c r="N146" s="10">
        <f t="shared" si="106"/>
        <v>0</v>
      </c>
      <c r="O146" s="10">
        <f t="shared" si="106"/>
        <v>0</v>
      </c>
      <c r="P146" s="10">
        <f t="shared" si="106"/>
        <v>0</v>
      </c>
    </row>
    <row r="147" spans="1:16" s="2" customFormat="1" hidden="1" outlineLevel="1" x14ac:dyDescent="0.25">
      <c r="A147" s="2">
        <v>6642</v>
      </c>
      <c r="B147" s="18" t="s">
        <v>568</v>
      </c>
      <c r="C147" s="308" t="s">
        <v>586</v>
      </c>
      <c r="D147" s="85">
        <v>0</v>
      </c>
      <c r="E147" s="11">
        <f t="shared" si="106"/>
        <v>0</v>
      </c>
      <c r="F147" s="11">
        <f t="shared" si="106"/>
        <v>0</v>
      </c>
      <c r="G147" s="11">
        <f t="shared" si="106"/>
        <v>0</v>
      </c>
      <c r="H147" s="11">
        <f t="shared" si="106"/>
        <v>0</v>
      </c>
      <c r="I147" s="11">
        <f t="shared" si="106"/>
        <v>0</v>
      </c>
      <c r="J147" s="11">
        <f t="shared" si="106"/>
        <v>0</v>
      </c>
      <c r="K147" s="11">
        <f t="shared" si="106"/>
        <v>0</v>
      </c>
      <c r="L147" s="11">
        <f t="shared" si="106"/>
        <v>0</v>
      </c>
      <c r="M147" s="11">
        <f t="shared" si="106"/>
        <v>0</v>
      </c>
      <c r="N147" s="11">
        <f t="shared" si="106"/>
        <v>0</v>
      </c>
      <c r="O147" s="11">
        <f t="shared" si="106"/>
        <v>0</v>
      </c>
      <c r="P147" s="11">
        <f t="shared" si="106"/>
        <v>0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0">
        <f>SUM(E146:E147)</f>
        <v>0</v>
      </c>
      <c r="F148" s="10">
        <f t="shared" ref="F148:P148" si="107">SUM(F146:F147)</f>
        <v>0</v>
      </c>
      <c r="G148" s="10">
        <f t="shared" si="107"/>
        <v>0</v>
      </c>
      <c r="H148" s="10">
        <f t="shared" si="107"/>
        <v>0</v>
      </c>
      <c r="I148" s="10">
        <f t="shared" si="107"/>
        <v>0</v>
      </c>
      <c r="J148" s="10">
        <f t="shared" si="107"/>
        <v>0</v>
      </c>
      <c r="K148" s="10">
        <f t="shared" si="107"/>
        <v>0</v>
      </c>
      <c r="L148" s="10">
        <f t="shared" si="107"/>
        <v>0</v>
      </c>
      <c r="M148" s="10">
        <f t="shared" si="107"/>
        <v>0</v>
      </c>
      <c r="N148" s="10">
        <f t="shared" si="107"/>
        <v>0</v>
      </c>
      <c r="O148" s="10">
        <f t="shared" si="107"/>
        <v>0</v>
      </c>
      <c r="P148" s="10">
        <f t="shared" si="107"/>
        <v>0</v>
      </c>
    </row>
    <row r="149" spans="1:16" s="2" customFormat="1" hidden="1" outlineLevel="1" x14ac:dyDescent="0.25">
      <c r="A149" s="2">
        <v>6651</v>
      </c>
      <c r="B149" t="s">
        <v>606</v>
      </c>
      <c r="C149" s="305" t="s">
        <v>650</v>
      </c>
      <c r="D149" s="85">
        <v>50</v>
      </c>
      <c r="E149" s="10">
        <f>ROUND(($D149*12),0)</f>
        <v>600</v>
      </c>
      <c r="F149" s="10">
        <f t="shared" ref="F149:P149" si="108">ROUND(($D149*12),0)</f>
        <v>600</v>
      </c>
      <c r="G149" s="10">
        <f t="shared" si="108"/>
        <v>600</v>
      </c>
      <c r="H149" s="10">
        <f t="shared" si="108"/>
        <v>600</v>
      </c>
      <c r="I149" s="10">
        <f t="shared" si="108"/>
        <v>600</v>
      </c>
      <c r="J149" s="10">
        <f t="shared" si="108"/>
        <v>600</v>
      </c>
      <c r="K149" s="10">
        <f t="shared" si="108"/>
        <v>600</v>
      </c>
      <c r="L149" s="10">
        <f t="shared" si="108"/>
        <v>600</v>
      </c>
      <c r="M149" s="10">
        <f t="shared" si="108"/>
        <v>600</v>
      </c>
      <c r="N149" s="10">
        <f t="shared" si="108"/>
        <v>600</v>
      </c>
      <c r="O149" s="10">
        <f t="shared" si="108"/>
        <v>600</v>
      </c>
      <c r="P149" s="10">
        <f t="shared" si="108"/>
        <v>600</v>
      </c>
    </row>
    <row r="150" spans="1:16" s="2" customFormat="1" hidden="1" outlineLevel="1" x14ac:dyDescent="0.25">
      <c r="A150" s="2">
        <v>6651</v>
      </c>
      <c r="B150" t="s">
        <v>607</v>
      </c>
      <c r="C150" s="305" t="s">
        <v>650</v>
      </c>
      <c r="D150" s="85">
        <v>250</v>
      </c>
      <c r="E150" s="10">
        <f t="shared" ref="E150:P151" si="109">ROUND(($D150*12),0)</f>
        <v>3000</v>
      </c>
      <c r="F150" s="10">
        <f t="shared" si="109"/>
        <v>3000</v>
      </c>
      <c r="G150" s="10">
        <f t="shared" si="109"/>
        <v>3000</v>
      </c>
      <c r="H150" s="10">
        <f t="shared" si="109"/>
        <v>3000</v>
      </c>
      <c r="I150" s="10">
        <f t="shared" si="109"/>
        <v>3000</v>
      </c>
      <c r="J150" s="10">
        <f t="shared" si="109"/>
        <v>3000</v>
      </c>
      <c r="K150" s="10">
        <f t="shared" si="109"/>
        <v>3000</v>
      </c>
      <c r="L150" s="10">
        <f t="shared" si="109"/>
        <v>3000</v>
      </c>
      <c r="M150" s="10">
        <f t="shared" si="109"/>
        <v>3000</v>
      </c>
      <c r="N150" s="10">
        <f t="shared" si="109"/>
        <v>3000</v>
      </c>
      <c r="O150" s="10">
        <f t="shared" si="109"/>
        <v>3000</v>
      </c>
      <c r="P150" s="10">
        <f t="shared" si="109"/>
        <v>3000</v>
      </c>
    </row>
    <row r="151" spans="1:16" s="2" customFormat="1" hidden="1" outlineLevel="1" x14ac:dyDescent="0.25">
      <c r="A151" s="2">
        <v>6651</v>
      </c>
      <c r="B151" t="s">
        <v>608</v>
      </c>
      <c r="C151" s="305" t="s">
        <v>650</v>
      </c>
      <c r="D151" s="85">
        <v>40</v>
      </c>
      <c r="E151" s="10">
        <f t="shared" si="109"/>
        <v>480</v>
      </c>
      <c r="F151" s="10">
        <f t="shared" si="109"/>
        <v>480</v>
      </c>
      <c r="G151" s="10">
        <f t="shared" si="109"/>
        <v>480</v>
      </c>
      <c r="H151" s="10">
        <f t="shared" si="109"/>
        <v>480</v>
      </c>
      <c r="I151" s="10">
        <f t="shared" si="109"/>
        <v>480</v>
      </c>
      <c r="J151" s="10">
        <f t="shared" si="109"/>
        <v>480</v>
      </c>
      <c r="K151" s="10">
        <f t="shared" si="109"/>
        <v>480</v>
      </c>
      <c r="L151" s="10">
        <f t="shared" si="109"/>
        <v>480</v>
      </c>
      <c r="M151" s="10">
        <f t="shared" si="109"/>
        <v>480</v>
      </c>
      <c r="N151" s="10">
        <f t="shared" si="109"/>
        <v>480</v>
      </c>
      <c r="O151" s="10">
        <f t="shared" si="109"/>
        <v>480</v>
      </c>
      <c r="P151" s="10">
        <f t="shared" si="109"/>
        <v>480</v>
      </c>
    </row>
    <row r="152" spans="1:16" s="2" customFormat="1" hidden="1" outlineLevel="1" x14ac:dyDescent="0.25">
      <c r="A152" s="2">
        <v>6651</v>
      </c>
      <c r="B152" t="s">
        <v>609</v>
      </c>
      <c r="C152" s="305" t="s">
        <v>643</v>
      </c>
      <c r="D152" s="85">
        <v>350</v>
      </c>
      <c r="E152" s="154">
        <f>ROUND($D152,0)</f>
        <v>350</v>
      </c>
      <c r="F152" s="154">
        <f t="shared" ref="F152:P152" si="110">ROUND($D152,0)</f>
        <v>350</v>
      </c>
      <c r="G152" s="154">
        <f t="shared" si="110"/>
        <v>350</v>
      </c>
      <c r="H152" s="154">
        <f t="shared" si="110"/>
        <v>350</v>
      </c>
      <c r="I152" s="154">
        <f t="shared" si="110"/>
        <v>350</v>
      </c>
      <c r="J152" s="154">
        <f t="shared" si="110"/>
        <v>350</v>
      </c>
      <c r="K152" s="154">
        <f t="shared" si="110"/>
        <v>350</v>
      </c>
      <c r="L152" s="154">
        <f t="shared" si="110"/>
        <v>350</v>
      </c>
      <c r="M152" s="154">
        <f t="shared" si="110"/>
        <v>350</v>
      </c>
      <c r="N152" s="154">
        <f t="shared" si="110"/>
        <v>350</v>
      </c>
      <c r="O152" s="154">
        <f t="shared" si="110"/>
        <v>350</v>
      </c>
      <c r="P152" s="154">
        <f t="shared" si="110"/>
        <v>350</v>
      </c>
    </row>
    <row r="153" spans="1:16" s="2" customFormat="1" hidden="1" outlineLevel="1" x14ac:dyDescent="0.25">
      <c r="A153" s="2">
        <v>6651</v>
      </c>
      <c r="B153" t="s">
        <v>658</v>
      </c>
      <c r="C153" s="305" t="s">
        <v>643</v>
      </c>
      <c r="D153" s="85">
        <v>270</v>
      </c>
      <c r="E153" s="154">
        <f t="shared" ref="E153:P159" si="111">ROUND($D153,0)</f>
        <v>270</v>
      </c>
      <c r="F153" s="154">
        <f t="shared" si="111"/>
        <v>270</v>
      </c>
      <c r="G153" s="154">
        <f t="shared" si="111"/>
        <v>270</v>
      </c>
      <c r="H153" s="154">
        <f t="shared" si="111"/>
        <v>270</v>
      </c>
      <c r="I153" s="154">
        <f t="shared" si="111"/>
        <v>270</v>
      </c>
      <c r="J153" s="154">
        <f t="shared" si="111"/>
        <v>270</v>
      </c>
      <c r="K153" s="154">
        <f t="shared" si="111"/>
        <v>270</v>
      </c>
      <c r="L153" s="154">
        <f t="shared" si="111"/>
        <v>270</v>
      </c>
      <c r="M153" s="154">
        <f t="shared" si="111"/>
        <v>270</v>
      </c>
      <c r="N153" s="154">
        <f t="shared" si="111"/>
        <v>270</v>
      </c>
      <c r="O153" s="154">
        <f t="shared" si="111"/>
        <v>270</v>
      </c>
      <c r="P153" s="154">
        <f t="shared" si="111"/>
        <v>270</v>
      </c>
    </row>
    <row r="154" spans="1:16" s="2" customFormat="1" hidden="1" outlineLevel="1" x14ac:dyDescent="0.25">
      <c r="A154" s="2">
        <v>6651</v>
      </c>
      <c r="B154" t="s">
        <v>611</v>
      </c>
      <c r="C154" s="305" t="s">
        <v>643</v>
      </c>
      <c r="D154" s="85">
        <v>2700</v>
      </c>
      <c r="E154" s="154">
        <f t="shared" si="111"/>
        <v>2700</v>
      </c>
      <c r="F154" s="154">
        <f t="shared" si="111"/>
        <v>2700</v>
      </c>
      <c r="G154" s="154">
        <f t="shared" si="111"/>
        <v>2700</v>
      </c>
      <c r="H154" s="154">
        <f t="shared" si="111"/>
        <v>2700</v>
      </c>
      <c r="I154" s="154">
        <f t="shared" si="111"/>
        <v>2700</v>
      </c>
      <c r="J154" s="154">
        <f t="shared" si="111"/>
        <v>2700</v>
      </c>
      <c r="K154" s="154">
        <f t="shared" si="111"/>
        <v>2700</v>
      </c>
      <c r="L154" s="154">
        <f t="shared" si="111"/>
        <v>2700</v>
      </c>
      <c r="M154" s="154">
        <f t="shared" si="111"/>
        <v>2700</v>
      </c>
      <c r="N154" s="154">
        <f t="shared" si="111"/>
        <v>2700</v>
      </c>
      <c r="O154" s="154">
        <f t="shared" si="111"/>
        <v>2700</v>
      </c>
      <c r="P154" s="154">
        <f t="shared" si="111"/>
        <v>2700</v>
      </c>
    </row>
    <row r="155" spans="1:16" s="2" customFormat="1" hidden="1" outlineLevel="1" x14ac:dyDescent="0.25">
      <c r="A155" s="2">
        <v>6651</v>
      </c>
      <c r="B155" t="s">
        <v>612</v>
      </c>
      <c r="C155" s="305" t="s">
        <v>643</v>
      </c>
      <c r="D155" s="85">
        <v>120</v>
      </c>
      <c r="E155" s="154">
        <f t="shared" si="111"/>
        <v>120</v>
      </c>
      <c r="F155" s="154">
        <f t="shared" si="111"/>
        <v>120</v>
      </c>
      <c r="G155" s="154">
        <f t="shared" si="111"/>
        <v>120</v>
      </c>
      <c r="H155" s="154">
        <f t="shared" si="111"/>
        <v>120</v>
      </c>
      <c r="I155" s="154">
        <f t="shared" si="111"/>
        <v>120</v>
      </c>
      <c r="J155" s="154">
        <f t="shared" si="111"/>
        <v>120</v>
      </c>
      <c r="K155" s="154">
        <f t="shared" si="111"/>
        <v>120</v>
      </c>
      <c r="L155" s="154">
        <f t="shared" si="111"/>
        <v>120</v>
      </c>
      <c r="M155" s="154">
        <f t="shared" si="111"/>
        <v>120</v>
      </c>
      <c r="N155" s="154">
        <f t="shared" si="111"/>
        <v>120</v>
      </c>
      <c r="O155" s="154">
        <f t="shared" si="111"/>
        <v>120</v>
      </c>
      <c r="P155" s="154">
        <f t="shared" si="111"/>
        <v>120</v>
      </c>
    </row>
    <row r="156" spans="1:16" s="2" customFormat="1" hidden="1" outlineLevel="1" x14ac:dyDescent="0.25">
      <c r="A156" s="2">
        <v>6651</v>
      </c>
      <c r="B156" t="s">
        <v>613</v>
      </c>
      <c r="C156" s="305" t="s">
        <v>643</v>
      </c>
      <c r="D156" s="85">
        <v>1200</v>
      </c>
      <c r="E156" s="154">
        <f t="shared" si="111"/>
        <v>1200</v>
      </c>
      <c r="F156" s="154">
        <f t="shared" si="111"/>
        <v>1200</v>
      </c>
      <c r="G156" s="154">
        <f t="shared" si="111"/>
        <v>1200</v>
      </c>
      <c r="H156" s="154">
        <f t="shared" si="111"/>
        <v>1200</v>
      </c>
      <c r="I156" s="154">
        <f t="shared" si="111"/>
        <v>1200</v>
      </c>
      <c r="J156" s="154">
        <f t="shared" si="111"/>
        <v>1200</v>
      </c>
      <c r="K156" s="154">
        <f t="shared" si="111"/>
        <v>1200</v>
      </c>
      <c r="L156" s="154">
        <f t="shared" si="111"/>
        <v>1200</v>
      </c>
      <c r="M156" s="154">
        <f t="shared" si="111"/>
        <v>1200</v>
      </c>
      <c r="N156" s="154">
        <f t="shared" si="111"/>
        <v>1200</v>
      </c>
      <c r="O156" s="154">
        <f t="shared" si="111"/>
        <v>1200</v>
      </c>
      <c r="P156" s="154">
        <f t="shared" si="111"/>
        <v>1200</v>
      </c>
    </row>
    <row r="157" spans="1:16" s="2" customFormat="1" hidden="1" outlineLevel="1" x14ac:dyDescent="0.25">
      <c r="A157" s="2">
        <v>6651</v>
      </c>
      <c r="B157" t="s">
        <v>614</v>
      </c>
      <c r="C157" s="305" t="s">
        <v>643</v>
      </c>
      <c r="D157" s="85">
        <v>9000</v>
      </c>
      <c r="E157" s="154">
        <f t="shared" si="111"/>
        <v>9000</v>
      </c>
      <c r="F157" s="154">
        <f t="shared" si="111"/>
        <v>9000</v>
      </c>
      <c r="G157" s="154">
        <f t="shared" si="111"/>
        <v>9000</v>
      </c>
      <c r="H157" s="154">
        <f t="shared" si="111"/>
        <v>9000</v>
      </c>
      <c r="I157" s="154">
        <f t="shared" si="111"/>
        <v>9000</v>
      </c>
      <c r="J157" s="154">
        <f t="shared" si="111"/>
        <v>9000</v>
      </c>
      <c r="K157" s="154">
        <f t="shared" si="111"/>
        <v>9000</v>
      </c>
      <c r="L157" s="154">
        <f t="shared" si="111"/>
        <v>9000</v>
      </c>
      <c r="M157" s="154">
        <f t="shared" si="111"/>
        <v>9000</v>
      </c>
      <c r="N157" s="154">
        <f t="shared" si="111"/>
        <v>9000</v>
      </c>
      <c r="O157" s="154">
        <f t="shared" si="111"/>
        <v>9000</v>
      </c>
      <c r="P157" s="154">
        <f t="shared" si="111"/>
        <v>9000</v>
      </c>
    </row>
    <row r="158" spans="1:16" s="2" customFormat="1" hidden="1" outlineLevel="1" x14ac:dyDescent="0.25">
      <c r="A158" s="2">
        <v>6651</v>
      </c>
      <c r="B158" t="s">
        <v>764</v>
      </c>
      <c r="C158" s="305" t="s">
        <v>643</v>
      </c>
      <c r="D158" s="85">
        <v>3000</v>
      </c>
      <c r="E158" s="154">
        <f t="shared" si="111"/>
        <v>3000</v>
      </c>
      <c r="F158" s="154">
        <f t="shared" si="111"/>
        <v>3000</v>
      </c>
      <c r="G158" s="154">
        <f t="shared" si="111"/>
        <v>3000</v>
      </c>
      <c r="H158" s="154">
        <f t="shared" si="111"/>
        <v>3000</v>
      </c>
      <c r="I158" s="154">
        <f t="shared" si="111"/>
        <v>3000</v>
      </c>
      <c r="J158" s="154">
        <f t="shared" si="111"/>
        <v>3000</v>
      </c>
      <c r="K158" s="154">
        <f t="shared" si="111"/>
        <v>3000</v>
      </c>
      <c r="L158" s="154">
        <f t="shared" si="111"/>
        <v>3000</v>
      </c>
      <c r="M158" s="154">
        <f t="shared" si="111"/>
        <v>3000</v>
      </c>
      <c r="N158" s="154">
        <f t="shared" si="111"/>
        <v>3000</v>
      </c>
      <c r="O158" s="154">
        <f t="shared" si="111"/>
        <v>3000</v>
      </c>
      <c r="P158" s="154">
        <f t="shared" si="111"/>
        <v>3000</v>
      </c>
    </row>
    <row r="159" spans="1:16" s="2" customFormat="1" hidden="1" outlineLevel="1" x14ac:dyDescent="0.25">
      <c r="A159" s="2">
        <v>6651</v>
      </c>
      <c r="B159" t="s">
        <v>765</v>
      </c>
      <c r="C159" s="305" t="s">
        <v>643</v>
      </c>
      <c r="D159" s="85">
        <v>2000</v>
      </c>
      <c r="E159" s="11">
        <f t="shared" si="111"/>
        <v>2000</v>
      </c>
      <c r="F159" s="11">
        <f t="shared" si="111"/>
        <v>2000</v>
      </c>
      <c r="G159" s="11">
        <f t="shared" si="111"/>
        <v>2000</v>
      </c>
      <c r="H159" s="11">
        <f t="shared" si="111"/>
        <v>2000</v>
      </c>
      <c r="I159" s="11">
        <f t="shared" si="111"/>
        <v>2000</v>
      </c>
      <c r="J159" s="11">
        <f t="shared" si="111"/>
        <v>2000</v>
      </c>
      <c r="K159" s="11">
        <f t="shared" si="111"/>
        <v>2000</v>
      </c>
      <c r="L159" s="11">
        <f t="shared" si="111"/>
        <v>2000</v>
      </c>
      <c r="M159" s="11">
        <f t="shared" si="111"/>
        <v>2000</v>
      </c>
      <c r="N159" s="11">
        <f t="shared" si="111"/>
        <v>2000</v>
      </c>
      <c r="O159" s="11">
        <f t="shared" si="111"/>
        <v>2000</v>
      </c>
      <c r="P159" s="11">
        <f t="shared" si="111"/>
        <v>2000</v>
      </c>
    </row>
    <row r="160" spans="1:16" s="2" customFormat="1" collapsed="1" x14ac:dyDescent="0.25">
      <c r="A160" s="2">
        <v>651</v>
      </c>
      <c r="B160" s="18" t="s">
        <v>469</v>
      </c>
      <c r="C160" s="18"/>
      <c r="D160" s="164"/>
      <c r="E160" s="10">
        <f>SUM(E149:E159)</f>
        <v>22720</v>
      </c>
      <c r="F160" s="10">
        <f t="shared" ref="F160:P160" si="112">SUM(F149:F159)</f>
        <v>22720</v>
      </c>
      <c r="G160" s="10">
        <f t="shared" si="112"/>
        <v>22720</v>
      </c>
      <c r="H160" s="10">
        <f t="shared" si="112"/>
        <v>22720</v>
      </c>
      <c r="I160" s="10">
        <f t="shared" si="112"/>
        <v>22720</v>
      </c>
      <c r="J160" s="10">
        <f t="shared" si="112"/>
        <v>22720</v>
      </c>
      <c r="K160" s="10">
        <f t="shared" si="112"/>
        <v>22720</v>
      </c>
      <c r="L160" s="10">
        <f t="shared" si="112"/>
        <v>22720</v>
      </c>
      <c r="M160" s="10">
        <f t="shared" si="112"/>
        <v>22720</v>
      </c>
      <c r="N160" s="10">
        <f t="shared" si="112"/>
        <v>22720</v>
      </c>
      <c r="O160" s="10">
        <f t="shared" si="112"/>
        <v>22720</v>
      </c>
      <c r="P160" s="10">
        <f t="shared" si="112"/>
        <v>22720</v>
      </c>
    </row>
    <row r="161" spans="1:16" s="2" customFormat="1" hidden="1" outlineLevel="1" x14ac:dyDescent="0.25">
      <c r="A161" s="2">
        <v>6730</v>
      </c>
      <c r="B161" s="18" t="s">
        <v>499</v>
      </c>
      <c r="C161" s="305" t="s">
        <v>654</v>
      </c>
      <c r="D161" s="85">
        <v>1200</v>
      </c>
      <c r="E161" s="10">
        <v>0</v>
      </c>
      <c r="F161" s="10">
        <f>($D161*(F205-F202))</f>
        <v>9600</v>
      </c>
      <c r="G161" s="10">
        <v>0</v>
      </c>
      <c r="H161" s="10">
        <v>0</v>
      </c>
      <c r="I161" s="10">
        <v>0</v>
      </c>
      <c r="J161" s="10">
        <f>($D161*(J205-J202))</f>
        <v>9600</v>
      </c>
      <c r="K161" s="10">
        <v>0</v>
      </c>
      <c r="L161" s="10">
        <v>0</v>
      </c>
      <c r="M161" s="10">
        <v>0</v>
      </c>
      <c r="N161" s="10">
        <f>($D161*(N205-N202))</f>
        <v>9600</v>
      </c>
      <c r="O161" s="10">
        <v>0</v>
      </c>
      <c r="P161" s="10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206" t="s">
        <v>618</v>
      </c>
      <c r="D162" s="85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206" t="s">
        <v>619</v>
      </c>
      <c r="D163" s="85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0">
        <f>SUM(E161:E163)</f>
        <v>0</v>
      </c>
      <c r="F164" s="10">
        <f t="shared" ref="F164:P164" si="113">SUM(F161:F163)</f>
        <v>9600</v>
      </c>
      <c r="G164" s="10">
        <f t="shared" si="113"/>
        <v>0</v>
      </c>
      <c r="H164" s="10">
        <f t="shared" si="113"/>
        <v>0</v>
      </c>
      <c r="I164" s="10">
        <f t="shared" si="113"/>
        <v>0</v>
      </c>
      <c r="J164" s="10">
        <f t="shared" si="113"/>
        <v>9600</v>
      </c>
      <c r="K164" s="10">
        <f t="shared" si="113"/>
        <v>0</v>
      </c>
      <c r="L164" s="10">
        <f t="shared" si="113"/>
        <v>0</v>
      </c>
      <c r="M164" s="10">
        <f t="shared" si="113"/>
        <v>0</v>
      </c>
      <c r="N164" s="10">
        <f t="shared" si="113"/>
        <v>9600</v>
      </c>
      <c r="O164" s="10">
        <f t="shared" si="113"/>
        <v>0</v>
      </c>
      <c r="P164" s="10">
        <f t="shared" si="113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203" t="s">
        <v>620</v>
      </c>
      <c r="D165" s="196">
        <v>0</v>
      </c>
      <c r="E165" s="10">
        <f>$D165*E182</f>
        <v>0</v>
      </c>
      <c r="F165" s="10">
        <f t="shared" ref="F165:P165" si="114">$D165*F182</f>
        <v>0</v>
      </c>
      <c r="G165" s="10">
        <f t="shared" si="114"/>
        <v>0</v>
      </c>
      <c r="H165" s="10">
        <f t="shared" si="114"/>
        <v>0</v>
      </c>
      <c r="I165" s="10">
        <f t="shared" si="114"/>
        <v>0</v>
      </c>
      <c r="J165" s="10">
        <f t="shared" si="114"/>
        <v>0</v>
      </c>
      <c r="K165" s="10">
        <f t="shared" si="114"/>
        <v>0</v>
      </c>
      <c r="L165" s="10">
        <f t="shared" si="114"/>
        <v>0</v>
      </c>
      <c r="M165" s="10">
        <f t="shared" si="114"/>
        <v>0</v>
      </c>
      <c r="N165" s="10">
        <f t="shared" si="114"/>
        <v>0</v>
      </c>
      <c r="O165" s="10">
        <f t="shared" si="114"/>
        <v>0</v>
      </c>
      <c r="P165" s="10">
        <f t="shared" si="114"/>
        <v>0</v>
      </c>
    </row>
    <row r="166" spans="1:16" s="2" customFormat="1" hidden="1" outlineLevel="1" x14ac:dyDescent="0.25">
      <c r="A166" s="2">
        <v>6810</v>
      </c>
      <c r="B166" s="18" t="s">
        <v>504</v>
      </c>
      <c r="C166" s="203" t="s">
        <v>620</v>
      </c>
      <c r="D166" s="196">
        <v>0</v>
      </c>
      <c r="E166" s="10">
        <f>$D166*E182</f>
        <v>0</v>
      </c>
      <c r="F166" s="10">
        <f t="shared" ref="F166:P166" si="115">$D166*F182</f>
        <v>0</v>
      </c>
      <c r="G166" s="10">
        <f t="shared" si="115"/>
        <v>0</v>
      </c>
      <c r="H166" s="10">
        <f t="shared" si="115"/>
        <v>0</v>
      </c>
      <c r="I166" s="10">
        <f t="shared" si="115"/>
        <v>0</v>
      </c>
      <c r="J166" s="10">
        <f t="shared" si="115"/>
        <v>0</v>
      </c>
      <c r="K166" s="10">
        <f t="shared" si="115"/>
        <v>0</v>
      </c>
      <c r="L166" s="10">
        <f t="shared" si="115"/>
        <v>0</v>
      </c>
      <c r="M166" s="10">
        <f t="shared" si="115"/>
        <v>0</v>
      </c>
      <c r="N166" s="10">
        <f t="shared" si="115"/>
        <v>0</v>
      </c>
      <c r="O166" s="10">
        <f t="shared" si="115"/>
        <v>0</v>
      </c>
      <c r="P166" s="10">
        <f t="shared" si="115"/>
        <v>0</v>
      </c>
    </row>
    <row r="167" spans="1:16" s="2" customFormat="1" hidden="1" outlineLevel="1" x14ac:dyDescent="0.25">
      <c r="A167" s="2">
        <v>6810</v>
      </c>
      <c r="B167" s="18" t="s">
        <v>505</v>
      </c>
      <c r="C167" s="203" t="s">
        <v>621</v>
      </c>
      <c r="D167" s="164">
        <v>0</v>
      </c>
      <c r="E167" s="107">
        <f>$D167*10</f>
        <v>0</v>
      </c>
      <c r="F167" s="107">
        <f t="shared" ref="F167:P167" si="116">$D167*10</f>
        <v>0</v>
      </c>
      <c r="G167" s="107">
        <f t="shared" si="116"/>
        <v>0</v>
      </c>
      <c r="H167" s="107">
        <f t="shared" si="116"/>
        <v>0</v>
      </c>
      <c r="I167" s="107">
        <f t="shared" si="116"/>
        <v>0</v>
      </c>
      <c r="J167" s="107">
        <f t="shared" si="116"/>
        <v>0</v>
      </c>
      <c r="K167" s="107">
        <f t="shared" si="116"/>
        <v>0</v>
      </c>
      <c r="L167" s="107">
        <f t="shared" si="116"/>
        <v>0</v>
      </c>
      <c r="M167" s="107">
        <f t="shared" si="116"/>
        <v>0</v>
      </c>
      <c r="N167" s="107">
        <f t="shared" si="116"/>
        <v>0</v>
      </c>
      <c r="O167" s="107">
        <f t="shared" si="116"/>
        <v>0</v>
      </c>
      <c r="P167" s="107">
        <f t="shared" si="116"/>
        <v>0</v>
      </c>
    </row>
    <row r="168" spans="1:16" s="2" customFormat="1" hidden="1" outlineLevel="1" x14ac:dyDescent="0.25">
      <c r="A168" s="2">
        <v>6810</v>
      </c>
      <c r="B168" s="18" t="s">
        <v>506</v>
      </c>
      <c r="C168" s="305" t="s">
        <v>643</v>
      </c>
      <c r="D168" s="85">
        <v>250</v>
      </c>
      <c r="E168" s="10">
        <f>$D168</f>
        <v>250</v>
      </c>
      <c r="F168" s="10">
        <f t="shared" ref="F168:P168" si="117">$D168</f>
        <v>250</v>
      </c>
      <c r="G168" s="10">
        <f t="shared" si="117"/>
        <v>250</v>
      </c>
      <c r="H168" s="10">
        <f t="shared" si="117"/>
        <v>250</v>
      </c>
      <c r="I168" s="10">
        <f t="shared" si="117"/>
        <v>250</v>
      </c>
      <c r="J168" s="10">
        <f t="shared" si="117"/>
        <v>250</v>
      </c>
      <c r="K168" s="10">
        <f t="shared" si="117"/>
        <v>250</v>
      </c>
      <c r="L168" s="10">
        <f t="shared" si="117"/>
        <v>250</v>
      </c>
      <c r="M168" s="10">
        <f t="shared" si="117"/>
        <v>250</v>
      </c>
      <c r="N168" s="10">
        <f t="shared" si="117"/>
        <v>250</v>
      </c>
      <c r="O168" s="10">
        <f t="shared" si="117"/>
        <v>250</v>
      </c>
      <c r="P168" s="10">
        <f t="shared" si="117"/>
        <v>250</v>
      </c>
    </row>
    <row r="169" spans="1:16" s="2" customFormat="1" hidden="1" outlineLevel="1" x14ac:dyDescent="0.25">
      <c r="A169" s="2">
        <v>6810</v>
      </c>
      <c r="B169" s="18" t="s">
        <v>507</v>
      </c>
      <c r="C169" s="305" t="s">
        <v>643</v>
      </c>
      <c r="D169" s="85">
        <v>250</v>
      </c>
      <c r="E169" s="10">
        <f t="shared" ref="E169:P172" si="118">$D169</f>
        <v>250</v>
      </c>
      <c r="F169" s="10">
        <f t="shared" si="118"/>
        <v>250</v>
      </c>
      <c r="G169" s="10">
        <f t="shared" si="118"/>
        <v>250</v>
      </c>
      <c r="H169" s="10">
        <f t="shared" si="118"/>
        <v>250</v>
      </c>
      <c r="I169" s="10">
        <f t="shared" si="118"/>
        <v>250</v>
      </c>
      <c r="J169" s="10">
        <f t="shared" si="118"/>
        <v>250</v>
      </c>
      <c r="K169" s="10">
        <f t="shared" si="118"/>
        <v>250</v>
      </c>
      <c r="L169" s="10">
        <f t="shared" si="118"/>
        <v>250</v>
      </c>
      <c r="M169" s="10">
        <f t="shared" si="118"/>
        <v>250</v>
      </c>
      <c r="N169" s="10">
        <f t="shared" si="118"/>
        <v>250</v>
      </c>
      <c r="O169" s="10">
        <f t="shared" si="118"/>
        <v>250</v>
      </c>
      <c r="P169" s="10">
        <f t="shared" si="118"/>
        <v>250</v>
      </c>
    </row>
    <row r="170" spans="1:16" s="2" customFormat="1" hidden="1" outlineLevel="1" x14ac:dyDescent="0.25">
      <c r="A170" s="2">
        <v>6810</v>
      </c>
      <c r="B170" s="18" t="s">
        <v>525</v>
      </c>
      <c r="C170" s="305" t="s">
        <v>643</v>
      </c>
      <c r="D170" s="85">
        <v>1500</v>
      </c>
      <c r="E170" s="10">
        <f t="shared" si="118"/>
        <v>1500</v>
      </c>
      <c r="F170" s="10">
        <f t="shared" si="118"/>
        <v>1500</v>
      </c>
      <c r="G170" s="10">
        <f t="shared" si="118"/>
        <v>1500</v>
      </c>
      <c r="H170" s="10">
        <f t="shared" si="118"/>
        <v>1500</v>
      </c>
      <c r="I170" s="10">
        <f t="shared" si="118"/>
        <v>1500</v>
      </c>
      <c r="J170" s="10">
        <f t="shared" si="118"/>
        <v>1500</v>
      </c>
      <c r="K170" s="10">
        <f t="shared" si="118"/>
        <v>1500</v>
      </c>
      <c r="L170" s="10">
        <f t="shared" si="118"/>
        <v>1500</v>
      </c>
      <c r="M170" s="10">
        <f t="shared" si="118"/>
        <v>1500</v>
      </c>
      <c r="N170" s="10">
        <f t="shared" si="118"/>
        <v>1500</v>
      </c>
      <c r="O170" s="10">
        <f t="shared" si="118"/>
        <v>1500</v>
      </c>
      <c r="P170" s="10">
        <f t="shared" si="118"/>
        <v>1500</v>
      </c>
    </row>
    <row r="171" spans="1:16" s="2" customFormat="1" hidden="1" outlineLevel="1" x14ac:dyDescent="0.25">
      <c r="A171" s="2">
        <v>6810</v>
      </c>
      <c r="B171" s="18" t="s">
        <v>508</v>
      </c>
      <c r="C171" s="305" t="s">
        <v>650</v>
      </c>
      <c r="D171" s="85">
        <v>250</v>
      </c>
      <c r="E171" s="10">
        <f>$D171*12</f>
        <v>3000</v>
      </c>
      <c r="F171" s="10">
        <f t="shared" ref="F171:P171" si="119">$D171*12</f>
        <v>3000</v>
      </c>
      <c r="G171" s="10">
        <f t="shared" si="119"/>
        <v>3000</v>
      </c>
      <c r="H171" s="10">
        <f t="shared" si="119"/>
        <v>3000</v>
      </c>
      <c r="I171" s="10">
        <f t="shared" si="119"/>
        <v>3000</v>
      </c>
      <c r="J171" s="10">
        <f t="shared" si="119"/>
        <v>3000</v>
      </c>
      <c r="K171" s="10">
        <f t="shared" si="119"/>
        <v>3000</v>
      </c>
      <c r="L171" s="10">
        <f t="shared" si="119"/>
        <v>3000</v>
      </c>
      <c r="M171" s="10">
        <f t="shared" si="119"/>
        <v>3000</v>
      </c>
      <c r="N171" s="10">
        <f t="shared" si="119"/>
        <v>3000</v>
      </c>
      <c r="O171" s="10">
        <f t="shared" si="119"/>
        <v>3000</v>
      </c>
      <c r="P171" s="10">
        <f t="shared" si="119"/>
        <v>3000</v>
      </c>
    </row>
    <row r="172" spans="1:16" s="2" customFormat="1" hidden="1" outlineLevel="1" x14ac:dyDescent="0.25">
      <c r="A172" s="2">
        <v>6810</v>
      </c>
      <c r="B172" s="18" t="s">
        <v>509</v>
      </c>
      <c r="C172" s="305" t="s">
        <v>643</v>
      </c>
      <c r="D172" s="85">
        <v>800</v>
      </c>
      <c r="E172" s="11">
        <f t="shared" si="118"/>
        <v>800</v>
      </c>
      <c r="F172" s="11">
        <f t="shared" si="118"/>
        <v>800</v>
      </c>
      <c r="G172" s="11">
        <f t="shared" si="118"/>
        <v>800</v>
      </c>
      <c r="H172" s="11">
        <f t="shared" si="118"/>
        <v>800</v>
      </c>
      <c r="I172" s="11">
        <f t="shared" si="118"/>
        <v>800</v>
      </c>
      <c r="J172" s="11">
        <f t="shared" si="118"/>
        <v>800</v>
      </c>
      <c r="K172" s="11">
        <f t="shared" si="118"/>
        <v>800</v>
      </c>
      <c r="L172" s="11">
        <f t="shared" si="118"/>
        <v>800</v>
      </c>
      <c r="M172" s="11">
        <f t="shared" si="118"/>
        <v>800</v>
      </c>
      <c r="N172" s="11">
        <f t="shared" si="118"/>
        <v>800</v>
      </c>
      <c r="O172" s="11">
        <f t="shared" si="118"/>
        <v>800</v>
      </c>
      <c r="P172" s="11">
        <f t="shared" si="118"/>
        <v>800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0">
        <f>SUM(E165:E172)</f>
        <v>5800</v>
      </c>
      <c r="F173" s="10">
        <f t="shared" ref="F173:P173" si="120">SUM(F165:F172)</f>
        <v>5800</v>
      </c>
      <c r="G173" s="10">
        <f t="shared" si="120"/>
        <v>5800</v>
      </c>
      <c r="H173" s="10">
        <f t="shared" si="120"/>
        <v>5800</v>
      </c>
      <c r="I173" s="10">
        <f t="shared" si="120"/>
        <v>5800</v>
      </c>
      <c r="J173" s="10">
        <f t="shared" si="120"/>
        <v>5800</v>
      </c>
      <c r="K173" s="10">
        <f t="shared" si="120"/>
        <v>5800</v>
      </c>
      <c r="L173" s="10">
        <f t="shared" si="120"/>
        <v>5800</v>
      </c>
      <c r="M173" s="10">
        <f t="shared" si="120"/>
        <v>5800</v>
      </c>
      <c r="N173" s="10">
        <f t="shared" si="120"/>
        <v>5800</v>
      </c>
      <c r="O173" s="10">
        <f t="shared" si="120"/>
        <v>5800</v>
      </c>
      <c r="P173" s="10">
        <f t="shared" si="120"/>
        <v>5800</v>
      </c>
    </row>
    <row r="174" spans="1:16" s="2" customFormat="1" x14ac:dyDescent="0.25">
      <c r="A174" s="2">
        <v>900</v>
      </c>
      <c r="B174" s="18" t="s">
        <v>85</v>
      </c>
      <c r="C174" s="203" t="s">
        <v>511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E175+E174+E173+E164+E160+E148+E145+E141+E140+E139+E138+E134+E133+E126+E119+E118+E114+E109+E108+E105+E104+E102+E101+E96+E92+E84+E83+E82+E81+E55</f>
        <v>1302790.5462500001</v>
      </c>
      <c r="F176" s="183">
        <f t="shared" ref="F176:P176" si="121">F175+F174+F173+F164+F160+F148+F145+F141+F140+F139+F138+F134+F133+F126+F119+F118+F114+F109+F108+F105+F104+F102+F101+F96+F92+F84+F83+F82+F81+F55</f>
        <v>1337637.8722579549</v>
      </c>
      <c r="G176" s="183">
        <f t="shared" si="121"/>
        <v>1375229.43838066</v>
      </c>
      <c r="H176" s="183">
        <f t="shared" si="121"/>
        <v>1405820.0045033651</v>
      </c>
      <c r="I176" s="183">
        <f t="shared" si="121"/>
        <v>1448442.5706260703</v>
      </c>
      <c r="J176" s="183">
        <f t="shared" si="121"/>
        <v>1487650.1367487751</v>
      </c>
      <c r="K176" s="183">
        <f t="shared" si="121"/>
        <v>1514599.70287148</v>
      </c>
      <c r="L176" s="183">
        <f t="shared" si="121"/>
        <v>1544830.2689941854</v>
      </c>
      <c r="M176" s="183">
        <f t="shared" si="121"/>
        <v>1575903.83511689</v>
      </c>
      <c r="N176" s="183">
        <f t="shared" si="121"/>
        <v>1627025.4012395951</v>
      </c>
      <c r="O176" s="183">
        <f t="shared" si="121"/>
        <v>1649193.9673623</v>
      </c>
      <c r="P176" s="183">
        <f t="shared" si="121"/>
        <v>1681457.5334850051</v>
      </c>
    </row>
    <row r="177" spans="1:16" s="2" customFormat="1" ht="15.75" thickBot="1" x14ac:dyDescent="0.3">
      <c r="A177" s="16" t="s">
        <v>217</v>
      </c>
      <c r="E177" s="184">
        <f t="shared" ref="E177:P177" si="122">E39-E176</f>
        <v>309713.20374999987</v>
      </c>
      <c r="F177" s="184">
        <f t="shared" si="122"/>
        <v>502805.59649204533</v>
      </c>
      <c r="G177" s="184">
        <f t="shared" si="122"/>
        <v>791763.89581934083</v>
      </c>
      <c r="H177" s="184">
        <f t="shared" si="122"/>
        <v>917350.13088307763</v>
      </c>
      <c r="I177" s="184">
        <f t="shared" si="122"/>
        <v>998041.66048780596</v>
      </c>
      <c r="J177" s="184">
        <f t="shared" si="122"/>
        <v>1057563.3275891652</v>
      </c>
      <c r="K177" s="184">
        <f t="shared" si="122"/>
        <v>1141352.5103075248</v>
      </c>
      <c r="L177" s="184">
        <f t="shared" si="122"/>
        <v>1223339.3614516312</v>
      </c>
      <c r="M177" s="184">
        <f t="shared" si="122"/>
        <v>1317084.4457842901</v>
      </c>
      <c r="N177" s="184">
        <f t="shared" si="122"/>
        <v>1392454.7105445664</v>
      </c>
      <c r="O177" s="184">
        <f t="shared" si="122"/>
        <v>1502995.0973226582</v>
      </c>
      <c r="P177" s="184">
        <f t="shared" si="122"/>
        <v>1609729.7016520766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3">E3</f>
        <v>FY 2018-2019</v>
      </c>
      <c r="F179" s="3" t="str">
        <f t="shared" si="123"/>
        <v>FY 2019-2020</v>
      </c>
      <c r="G179" s="3" t="str">
        <f t="shared" si="123"/>
        <v>FY 2020-2021</v>
      </c>
      <c r="H179" s="3" t="str">
        <f t="shared" si="123"/>
        <v>FY 2021-2022</v>
      </c>
      <c r="I179" s="3" t="str">
        <f t="shared" si="123"/>
        <v>FY 2022-2023</v>
      </c>
      <c r="J179" s="3" t="str">
        <f t="shared" si="123"/>
        <v>FY 2023-2024</v>
      </c>
      <c r="K179" s="3" t="str">
        <f t="shared" si="123"/>
        <v>FY 2024-2025</v>
      </c>
      <c r="L179" s="3" t="str">
        <f t="shared" si="123"/>
        <v>FY 2025-2026</v>
      </c>
      <c r="M179" s="3" t="str">
        <f t="shared" si="123"/>
        <v>FY 2026-2027</v>
      </c>
      <c r="N179" s="3" t="str">
        <f t="shared" si="123"/>
        <v>FY 2027-2028</v>
      </c>
      <c r="O179" s="3" t="str">
        <f t="shared" si="123"/>
        <v>FY 2027-2028</v>
      </c>
      <c r="P179" s="3" t="str">
        <f t="shared" si="123"/>
        <v>FY 2028-2029</v>
      </c>
    </row>
    <row r="180" spans="1:16" s="2" customFormat="1" x14ac:dyDescent="0.25">
      <c r="C180" s="202" t="s">
        <v>523</v>
      </c>
      <c r="E180" s="133">
        <f>'School Rollup'!D164</f>
        <v>420</v>
      </c>
      <c r="F180" s="133">
        <f>'School Rollup'!E164</f>
        <v>470</v>
      </c>
      <c r="G180" s="133">
        <f>'School Rollup'!F164</f>
        <v>550</v>
      </c>
      <c r="H180" s="133">
        <f>'School Rollup'!G164</f>
        <v>590</v>
      </c>
      <c r="I180" s="133">
        <f>'School Rollup'!H164</f>
        <v>610</v>
      </c>
      <c r="J180" s="133">
        <f>'School Rollup'!I164</f>
        <v>650</v>
      </c>
      <c r="K180" s="133">
        <f>'School Rollup'!J164</f>
        <v>660</v>
      </c>
      <c r="L180" s="133">
        <f>'School Rollup'!K164</f>
        <v>690</v>
      </c>
      <c r="M180" s="133">
        <f>'School Rollup'!L164</f>
        <v>710</v>
      </c>
      <c r="N180" s="133">
        <f>'School Rollup'!M164</f>
        <v>740</v>
      </c>
      <c r="O180" s="133">
        <f>'School Rollup'!N164</f>
        <v>760</v>
      </c>
      <c r="P180" s="133">
        <f>'School Rollup'!O164</f>
        <v>790</v>
      </c>
    </row>
    <row r="181" spans="1:16" s="2" customFormat="1" x14ac:dyDescent="0.25">
      <c r="C181" s="202" t="s">
        <v>524</v>
      </c>
      <c r="E181" s="197">
        <f>'School Rollup'!D165</f>
        <v>330</v>
      </c>
      <c r="F181" s="197">
        <f>'School Rollup'!E165</f>
        <v>385</v>
      </c>
      <c r="G181" s="197">
        <f>'School Rollup'!F165</f>
        <v>450</v>
      </c>
      <c r="H181" s="197">
        <f>'School Rollup'!G165</f>
        <v>480</v>
      </c>
      <c r="I181" s="197">
        <f>'School Rollup'!H165</f>
        <v>510</v>
      </c>
      <c r="J181" s="197">
        <f>'School Rollup'!I165</f>
        <v>510</v>
      </c>
      <c r="K181" s="197">
        <f>'School Rollup'!J165</f>
        <v>542</v>
      </c>
      <c r="L181" s="197">
        <f>'School Rollup'!K165</f>
        <v>554</v>
      </c>
      <c r="M181" s="197">
        <f>'School Rollup'!L165</f>
        <v>581</v>
      </c>
      <c r="N181" s="197">
        <f>'School Rollup'!M165</f>
        <v>598</v>
      </c>
      <c r="O181" s="197">
        <f>'School Rollup'!N165</f>
        <v>627</v>
      </c>
      <c r="P181" s="197">
        <f>'School Rollup'!O165</f>
        <v>648</v>
      </c>
    </row>
    <row r="182" spans="1:16" s="2" customFormat="1" x14ac:dyDescent="0.25">
      <c r="E182" s="113">
        <f>SUM(E180:E181)</f>
        <v>750</v>
      </c>
      <c r="F182" s="113">
        <f t="shared" ref="F182:P182" si="124">SUM(F180:F181)</f>
        <v>855</v>
      </c>
      <c r="G182" s="113">
        <f t="shared" si="124"/>
        <v>1000</v>
      </c>
      <c r="H182" s="113">
        <f t="shared" si="124"/>
        <v>1070</v>
      </c>
      <c r="I182" s="113">
        <f t="shared" si="124"/>
        <v>1120</v>
      </c>
      <c r="J182" s="113">
        <f t="shared" si="124"/>
        <v>1160</v>
      </c>
      <c r="K182" s="113">
        <f t="shared" si="124"/>
        <v>1202</v>
      </c>
      <c r="L182" s="113">
        <f t="shared" si="124"/>
        <v>1244</v>
      </c>
      <c r="M182" s="113">
        <f t="shared" si="124"/>
        <v>1291</v>
      </c>
      <c r="N182" s="113">
        <f t="shared" si="124"/>
        <v>1338</v>
      </c>
      <c r="O182" s="113">
        <f t="shared" si="124"/>
        <v>1387</v>
      </c>
      <c r="P182" s="113">
        <f t="shared" si="124"/>
        <v>1438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Assumptions!E18</f>
        <v>7</v>
      </c>
      <c r="F185" s="2">
        <f>Assumptions!F18</f>
        <v>7</v>
      </c>
      <c r="G185" s="2">
        <f>Assumptions!G18</f>
        <v>7</v>
      </c>
      <c r="H185" s="2">
        <f>Assumptions!H18</f>
        <v>7</v>
      </c>
      <c r="I185" s="2">
        <f>Assumptions!I18</f>
        <v>7</v>
      </c>
      <c r="J185" s="2">
        <f>Assumptions!J18</f>
        <v>7</v>
      </c>
      <c r="K185" s="2">
        <f>Assumptions!K18</f>
        <v>7</v>
      </c>
      <c r="L185" s="2">
        <f>Assumptions!L18</f>
        <v>7</v>
      </c>
      <c r="M185" s="2">
        <f>Assumptions!M18</f>
        <v>7</v>
      </c>
      <c r="N185" s="2">
        <f>Assumptions!N18</f>
        <v>7</v>
      </c>
      <c r="O185" s="2">
        <f>Assumptions!O18</f>
        <v>7</v>
      </c>
      <c r="P185" s="2">
        <f>Assumptions!P18</f>
        <v>7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>E3</f>
        <v>FY 2018-2019</v>
      </c>
      <c r="F187" s="3" t="str">
        <f t="shared" ref="F187:P187" si="125">F3</f>
        <v>FY 2019-2020</v>
      </c>
      <c r="G187" s="3" t="str">
        <f t="shared" si="125"/>
        <v>FY 2020-2021</v>
      </c>
      <c r="H187" s="3" t="str">
        <f t="shared" si="125"/>
        <v>FY 2021-2022</v>
      </c>
      <c r="I187" s="3" t="str">
        <f t="shared" si="125"/>
        <v>FY 2022-2023</v>
      </c>
      <c r="J187" s="3" t="str">
        <f t="shared" si="125"/>
        <v>FY 2023-2024</v>
      </c>
      <c r="K187" s="3" t="str">
        <f t="shared" si="125"/>
        <v>FY 2024-2025</v>
      </c>
      <c r="L187" s="3" t="str">
        <f t="shared" si="125"/>
        <v>FY 2025-2026</v>
      </c>
      <c r="M187" s="3" t="str">
        <f t="shared" si="125"/>
        <v>FY 2026-2027</v>
      </c>
      <c r="N187" s="3" t="str">
        <f t="shared" si="125"/>
        <v>FY 2027-2028</v>
      </c>
      <c r="O187" s="3" t="str">
        <f t="shared" si="125"/>
        <v>FY 2027-2028</v>
      </c>
      <c r="P187" s="3" t="str">
        <f t="shared" si="125"/>
        <v>FY 2028-2029</v>
      </c>
    </row>
    <row r="188" spans="1:16" s="2" customFormat="1" x14ac:dyDescent="0.25">
      <c r="A188" s="2" t="s">
        <v>404</v>
      </c>
      <c r="B188" s="7" t="s">
        <v>514</v>
      </c>
      <c r="C188" s="215"/>
      <c r="D188" s="162"/>
      <c r="E188" s="175">
        <v>1</v>
      </c>
      <c r="F188" s="175">
        <v>1</v>
      </c>
      <c r="G188" s="175">
        <v>1</v>
      </c>
      <c r="H188" s="2">
        <f t="shared" ref="H188:P196" si="126">G188</f>
        <v>1</v>
      </c>
      <c r="I188" s="2">
        <f t="shared" si="126"/>
        <v>1</v>
      </c>
      <c r="J188" s="2">
        <f t="shared" si="126"/>
        <v>1</v>
      </c>
      <c r="K188" s="2">
        <f t="shared" si="126"/>
        <v>1</v>
      </c>
      <c r="L188" s="2">
        <f t="shared" si="126"/>
        <v>1</v>
      </c>
      <c r="M188" s="2">
        <f t="shared" si="126"/>
        <v>1</v>
      </c>
      <c r="N188" s="2">
        <f t="shared" si="126"/>
        <v>1</v>
      </c>
      <c r="O188" s="2">
        <f t="shared" si="126"/>
        <v>1</v>
      </c>
      <c r="P188" s="2">
        <v>1</v>
      </c>
    </row>
    <row r="189" spans="1:16" s="2" customFormat="1" x14ac:dyDescent="0.25">
      <c r="A189" s="2" t="s">
        <v>404</v>
      </c>
      <c r="B189" s="7" t="s">
        <v>515</v>
      </c>
      <c r="C189" s="215"/>
      <c r="D189" s="162"/>
      <c r="E189" s="175">
        <v>1</v>
      </c>
      <c r="F189" s="175">
        <v>1</v>
      </c>
      <c r="G189" s="175">
        <v>1</v>
      </c>
      <c r="H189" s="2">
        <f t="shared" si="126"/>
        <v>1</v>
      </c>
      <c r="I189" s="2">
        <f t="shared" si="126"/>
        <v>1</v>
      </c>
      <c r="J189" s="2">
        <f t="shared" si="126"/>
        <v>1</v>
      </c>
      <c r="K189" s="2">
        <f t="shared" si="126"/>
        <v>1</v>
      </c>
      <c r="L189" s="2">
        <f t="shared" si="126"/>
        <v>1</v>
      </c>
      <c r="M189" s="2">
        <f t="shared" si="126"/>
        <v>1</v>
      </c>
      <c r="N189" s="2">
        <f t="shared" si="126"/>
        <v>1</v>
      </c>
      <c r="O189" s="2">
        <f t="shared" si="126"/>
        <v>1</v>
      </c>
      <c r="P189" s="2">
        <f t="shared" si="126"/>
        <v>1</v>
      </c>
    </row>
    <row r="190" spans="1:16" s="2" customFormat="1" x14ac:dyDescent="0.25">
      <c r="A190" s="2" t="s">
        <v>407</v>
      </c>
      <c r="B190" s="7" t="s">
        <v>713</v>
      </c>
      <c r="C190" s="215"/>
      <c r="D190" s="217"/>
      <c r="E190" s="175">
        <v>1</v>
      </c>
      <c r="F190" s="175">
        <v>1</v>
      </c>
      <c r="G190" s="175">
        <v>1</v>
      </c>
      <c r="H190" s="2">
        <f t="shared" si="126"/>
        <v>1</v>
      </c>
      <c r="I190" s="2">
        <f t="shared" si="126"/>
        <v>1</v>
      </c>
      <c r="J190" s="2">
        <f t="shared" si="126"/>
        <v>1</v>
      </c>
      <c r="K190" s="2">
        <f t="shared" si="126"/>
        <v>1</v>
      </c>
      <c r="L190" s="2">
        <f t="shared" si="126"/>
        <v>1</v>
      </c>
      <c r="M190" s="2">
        <f t="shared" si="126"/>
        <v>1</v>
      </c>
      <c r="N190" s="2">
        <f t="shared" si="126"/>
        <v>1</v>
      </c>
      <c r="O190" s="2">
        <f t="shared" si="126"/>
        <v>1</v>
      </c>
      <c r="P190" s="2">
        <f t="shared" si="126"/>
        <v>1</v>
      </c>
    </row>
    <row r="191" spans="1:16" s="2" customFormat="1" x14ac:dyDescent="0.25">
      <c r="A191" s="2" t="s">
        <v>408</v>
      </c>
      <c r="B191" s="7" t="s">
        <v>682</v>
      </c>
      <c r="C191" s="215"/>
      <c r="D191" s="217"/>
      <c r="E191" s="175">
        <v>1</v>
      </c>
      <c r="F191" s="175">
        <v>1</v>
      </c>
      <c r="G191" s="175">
        <v>1</v>
      </c>
      <c r="H191" s="2">
        <f t="shared" ref="H191:K193" si="127">G191</f>
        <v>1</v>
      </c>
      <c r="I191" s="2">
        <f t="shared" si="127"/>
        <v>1</v>
      </c>
      <c r="J191" s="2">
        <f t="shared" si="127"/>
        <v>1</v>
      </c>
      <c r="K191" s="2">
        <f t="shared" si="127"/>
        <v>1</v>
      </c>
      <c r="L191" s="2">
        <f t="shared" si="126"/>
        <v>1</v>
      </c>
      <c r="M191" s="2">
        <f t="shared" si="126"/>
        <v>1</v>
      </c>
      <c r="N191" s="2">
        <f t="shared" si="126"/>
        <v>1</v>
      </c>
      <c r="O191" s="2">
        <f t="shared" si="126"/>
        <v>1</v>
      </c>
      <c r="P191" s="2">
        <f t="shared" si="126"/>
        <v>1</v>
      </c>
    </row>
    <row r="192" spans="1:16" s="2" customFormat="1" x14ac:dyDescent="0.25">
      <c r="A192" s="2" t="s">
        <v>407</v>
      </c>
      <c r="B192" s="7" t="s">
        <v>683</v>
      </c>
      <c r="C192" s="215"/>
      <c r="D192" s="217"/>
      <c r="E192" s="175">
        <v>1</v>
      </c>
      <c r="F192" s="175">
        <v>1</v>
      </c>
      <c r="G192" s="175">
        <v>1</v>
      </c>
      <c r="H192" s="175">
        <v>1</v>
      </c>
      <c r="I192" s="175">
        <v>1</v>
      </c>
      <c r="J192" s="2">
        <f t="shared" si="127"/>
        <v>1</v>
      </c>
      <c r="K192" s="2">
        <f t="shared" si="127"/>
        <v>1</v>
      </c>
      <c r="L192" s="2">
        <f t="shared" si="126"/>
        <v>1</v>
      </c>
      <c r="M192" s="2">
        <f t="shared" si="126"/>
        <v>1</v>
      </c>
      <c r="N192" s="2">
        <f t="shared" si="126"/>
        <v>1</v>
      </c>
      <c r="O192" s="2">
        <f t="shared" si="126"/>
        <v>1</v>
      </c>
      <c r="P192" s="2">
        <f t="shared" si="126"/>
        <v>1</v>
      </c>
    </row>
    <row r="193" spans="1:16" s="2" customFormat="1" x14ac:dyDescent="0.25">
      <c r="A193" s="2" t="s">
        <v>404</v>
      </c>
      <c r="B193" s="7" t="s">
        <v>684</v>
      </c>
      <c r="C193" s="215"/>
      <c r="D193" s="217"/>
      <c r="E193" s="175">
        <v>1</v>
      </c>
      <c r="F193" s="175">
        <v>1</v>
      </c>
      <c r="G193" s="175">
        <v>1</v>
      </c>
      <c r="H193" s="175">
        <f>G193</f>
        <v>1</v>
      </c>
      <c r="I193" s="175">
        <f>H193</f>
        <v>1</v>
      </c>
      <c r="J193" s="175">
        <f t="shared" si="127"/>
        <v>1</v>
      </c>
      <c r="K193" s="175">
        <f t="shared" si="127"/>
        <v>1</v>
      </c>
      <c r="L193" s="113">
        <f t="shared" si="126"/>
        <v>1</v>
      </c>
      <c r="M193" s="113">
        <f t="shared" si="126"/>
        <v>1</v>
      </c>
      <c r="N193" s="113">
        <f t="shared" si="126"/>
        <v>1</v>
      </c>
      <c r="O193" s="113">
        <f t="shared" si="126"/>
        <v>1</v>
      </c>
      <c r="P193" s="113">
        <f t="shared" si="126"/>
        <v>1</v>
      </c>
    </row>
    <row r="194" spans="1:16" s="2" customFormat="1" x14ac:dyDescent="0.25">
      <c r="A194" s="2" t="s">
        <v>408</v>
      </c>
      <c r="B194" s="7" t="s">
        <v>685</v>
      </c>
      <c r="C194" s="215"/>
      <c r="D194" s="217"/>
      <c r="E194" s="175">
        <v>1</v>
      </c>
      <c r="F194" s="175">
        <v>1</v>
      </c>
      <c r="G194" s="175">
        <v>1</v>
      </c>
      <c r="H194" s="175">
        <v>1</v>
      </c>
      <c r="I194" s="113">
        <f>H194</f>
        <v>1</v>
      </c>
      <c r="J194" s="113">
        <f>I194</f>
        <v>1</v>
      </c>
      <c r="K194" s="113">
        <f>J194</f>
        <v>1</v>
      </c>
      <c r="L194" s="113">
        <f t="shared" si="126"/>
        <v>1</v>
      </c>
      <c r="M194" s="113">
        <f t="shared" si="126"/>
        <v>1</v>
      </c>
      <c r="N194" s="113">
        <f t="shared" si="126"/>
        <v>1</v>
      </c>
      <c r="O194" s="113">
        <f t="shared" si="126"/>
        <v>1</v>
      </c>
      <c r="P194" s="113">
        <f t="shared" si="126"/>
        <v>1</v>
      </c>
    </row>
    <row r="195" spans="1:16" s="2" customFormat="1" x14ac:dyDescent="0.25">
      <c r="A195" s="2" t="s">
        <v>407</v>
      </c>
      <c r="B195" s="7" t="s">
        <v>686</v>
      </c>
      <c r="C195" s="215"/>
      <c r="D195" s="162"/>
      <c r="E195" s="175">
        <v>1</v>
      </c>
      <c r="F195" s="175">
        <v>1</v>
      </c>
      <c r="G195" s="175">
        <v>1</v>
      </c>
      <c r="H195" s="175">
        <v>1</v>
      </c>
      <c r="I195" s="175">
        <v>1</v>
      </c>
      <c r="J195" s="175">
        <v>1</v>
      </c>
      <c r="K195" s="175">
        <v>1</v>
      </c>
      <c r="L195" s="113">
        <f t="shared" si="126"/>
        <v>1</v>
      </c>
      <c r="M195" s="113">
        <f t="shared" si="126"/>
        <v>1</v>
      </c>
      <c r="N195" s="113">
        <f t="shared" si="126"/>
        <v>1</v>
      </c>
      <c r="O195" s="113">
        <f t="shared" si="126"/>
        <v>1</v>
      </c>
      <c r="P195" s="113">
        <f t="shared" si="126"/>
        <v>1</v>
      </c>
    </row>
    <row r="196" spans="1:16" s="2" customFormat="1" x14ac:dyDescent="0.25">
      <c r="B196" s="7" t="s">
        <v>397</v>
      </c>
      <c r="C196" s="215"/>
      <c r="D196" s="162"/>
      <c r="E196" s="186">
        <v>0</v>
      </c>
      <c r="F196" s="186">
        <v>0</v>
      </c>
      <c r="G196" s="186">
        <v>0</v>
      </c>
      <c r="H196" s="182">
        <f>G196</f>
        <v>0</v>
      </c>
      <c r="I196" s="182">
        <f>H196</f>
        <v>0</v>
      </c>
      <c r="J196" s="182">
        <f>I196</f>
        <v>0</v>
      </c>
      <c r="K196" s="182">
        <f>J196</f>
        <v>0</v>
      </c>
      <c r="L196" s="182">
        <f t="shared" si="126"/>
        <v>0</v>
      </c>
      <c r="M196" s="182">
        <f t="shared" si="126"/>
        <v>0</v>
      </c>
      <c r="N196" s="182">
        <f t="shared" si="126"/>
        <v>0</v>
      </c>
      <c r="O196" s="182">
        <f t="shared" si="126"/>
        <v>0</v>
      </c>
      <c r="P196" s="182">
        <f t="shared" si="126"/>
        <v>0</v>
      </c>
    </row>
    <row r="197" spans="1:16" s="23" customFormat="1" x14ac:dyDescent="0.25">
      <c r="C197" s="78"/>
      <c r="D197" s="78"/>
      <c r="E197" s="23">
        <f>SUM(E188:E196)</f>
        <v>8</v>
      </c>
      <c r="F197" s="23">
        <f t="shared" ref="F197:P197" si="128">SUM(F188:F196)</f>
        <v>8</v>
      </c>
      <c r="G197" s="23">
        <f t="shared" si="128"/>
        <v>8</v>
      </c>
      <c r="H197" s="23">
        <f t="shared" si="128"/>
        <v>8</v>
      </c>
      <c r="I197" s="23">
        <f t="shared" si="128"/>
        <v>8</v>
      </c>
      <c r="J197" s="23">
        <f t="shared" si="128"/>
        <v>8</v>
      </c>
      <c r="K197" s="23">
        <f t="shared" si="128"/>
        <v>8</v>
      </c>
      <c r="L197" s="23">
        <f t="shared" si="128"/>
        <v>8</v>
      </c>
      <c r="M197" s="23">
        <f t="shared" si="128"/>
        <v>8</v>
      </c>
      <c r="N197" s="23">
        <f t="shared" si="128"/>
        <v>8</v>
      </c>
      <c r="O197" s="23">
        <f t="shared" si="128"/>
        <v>8</v>
      </c>
      <c r="P197" s="23">
        <f t="shared" si="128"/>
        <v>8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SUMIFS(E$188:E$195,$A$188:$A$195,$A42)</f>
        <v>0</v>
      </c>
      <c r="F199" s="191">
        <f t="shared" ref="F199:P199" si="129">SUMIFS(F$188:F$195,$A$188:$A$195,$A42)</f>
        <v>0</v>
      </c>
      <c r="G199" s="191">
        <f t="shared" si="129"/>
        <v>0</v>
      </c>
      <c r="H199" s="191">
        <f t="shared" si="129"/>
        <v>0</v>
      </c>
      <c r="I199" s="191">
        <f t="shared" si="129"/>
        <v>0</v>
      </c>
      <c r="J199" s="191">
        <f t="shared" si="129"/>
        <v>0</v>
      </c>
      <c r="K199" s="191">
        <f t="shared" si="129"/>
        <v>0</v>
      </c>
      <c r="L199" s="191">
        <f t="shared" si="129"/>
        <v>0</v>
      </c>
      <c r="M199" s="191">
        <f t="shared" si="129"/>
        <v>0</v>
      </c>
      <c r="N199" s="191">
        <f t="shared" si="129"/>
        <v>0</v>
      </c>
      <c r="O199" s="191">
        <f t="shared" si="129"/>
        <v>0</v>
      </c>
      <c r="P199" s="191">
        <f t="shared" si="129"/>
        <v>0</v>
      </c>
    </row>
    <row r="200" spans="1:16" s="23" customFormat="1" x14ac:dyDescent="0.25">
      <c r="A200" s="7" t="s">
        <v>9</v>
      </c>
      <c r="B200" s="25"/>
      <c r="E200" s="23">
        <f>SUM(E199:E199)</f>
        <v>0</v>
      </c>
      <c r="F200" s="23">
        <f t="shared" ref="F200:P200" si="130">SUM(F199:F199)</f>
        <v>0</v>
      </c>
      <c r="G200" s="23">
        <f t="shared" si="130"/>
        <v>0</v>
      </c>
      <c r="H200" s="23">
        <f t="shared" si="130"/>
        <v>0</v>
      </c>
      <c r="I200" s="23">
        <f t="shared" si="130"/>
        <v>0</v>
      </c>
      <c r="J200" s="23">
        <f t="shared" si="130"/>
        <v>0</v>
      </c>
      <c r="K200" s="23">
        <f t="shared" si="130"/>
        <v>0</v>
      </c>
      <c r="L200" s="23">
        <f t="shared" si="130"/>
        <v>0</v>
      </c>
      <c r="M200" s="23">
        <f t="shared" si="130"/>
        <v>0</v>
      </c>
      <c r="N200" s="23">
        <f t="shared" si="130"/>
        <v>0</v>
      </c>
      <c r="O200" s="23">
        <f t="shared" si="130"/>
        <v>0</v>
      </c>
      <c r="P200" s="23">
        <f t="shared" si="130"/>
        <v>0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SUMIFS(E188:E196,$A188:$A196,A51)</f>
        <v>0</v>
      </c>
      <c r="F202" s="17">
        <f t="shared" ref="F202:P202" si="131">SUMIFS(F188:F196,$A188:$A196,B51)</f>
        <v>0</v>
      </c>
      <c r="G202" s="17">
        <f t="shared" si="131"/>
        <v>0</v>
      </c>
      <c r="H202" s="17">
        <f t="shared" si="131"/>
        <v>0</v>
      </c>
      <c r="I202" s="17">
        <f t="shared" si="131"/>
        <v>0</v>
      </c>
      <c r="J202" s="17">
        <f t="shared" si="131"/>
        <v>0</v>
      </c>
      <c r="K202" s="17">
        <f t="shared" si="131"/>
        <v>0</v>
      </c>
      <c r="L202" s="17">
        <f t="shared" si="131"/>
        <v>0</v>
      </c>
      <c r="M202" s="17">
        <f t="shared" si="131"/>
        <v>0</v>
      </c>
      <c r="N202" s="17">
        <f t="shared" si="131"/>
        <v>0</v>
      </c>
      <c r="O202" s="17">
        <f t="shared" si="131"/>
        <v>0</v>
      </c>
      <c r="P202" s="17">
        <f t="shared" si="131"/>
        <v>0</v>
      </c>
    </row>
    <row r="203" spans="1:16" s="23" customFormat="1" x14ac:dyDescent="0.25">
      <c r="A203" s="7" t="s">
        <v>423</v>
      </c>
      <c r="B203" s="25"/>
      <c r="E203" s="17">
        <f>SUMIFS(E188:E197,$A188:$A197,$A188)</f>
        <v>3</v>
      </c>
      <c r="F203" s="17">
        <f t="shared" ref="F203:P203" si="132">SUMIFS(F188:F197,$A188:$A197,$A188)</f>
        <v>3</v>
      </c>
      <c r="G203" s="17">
        <f t="shared" si="132"/>
        <v>3</v>
      </c>
      <c r="H203" s="17">
        <f t="shared" si="132"/>
        <v>3</v>
      </c>
      <c r="I203" s="17">
        <f t="shared" si="132"/>
        <v>3</v>
      </c>
      <c r="J203" s="17">
        <f t="shared" si="132"/>
        <v>3</v>
      </c>
      <c r="K203" s="17">
        <f t="shared" si="132"/>
        <v>3</v>
      </c>
      <c r="L203" s="17">
        <f t="shared" si="132"/>
        <v>3</v>
      </c>
      <c r="M203" s="17">
        <f t="shared" si="132"/>
        <v>3</v>
      </c>
      <c r="N203" s="17">
        <f t="shared" si="132"/>
        <v>3</v>
      </c>
      <c r="O203" s="17">
        <f t="shared" si="132"/>
        <v>3</v>
      </c>
      <c r="P203" s="17">
        <f t="shared" si="132"/>
        <v>3</v>
      </c>
    </row>
    <row r="204" spans="1:16" s="23" customFormat="1" x14ac:dyDescent="0.25">
      <c r="A204" s="7" t="s">
        <v>424</v>
      </c>
      <c r="B204" s="25"/>
      <c r="E204" s="119">
        <f>E197-E200-E202-E203</f>
        <v>5</v>
      </c>
      <c r="F204" s="119">
        <f t="shared" ref="F204:P204" si="133">F197-F200-F202-F203</f>
        <v>5</v>
      </c>
      <c r="G204" s="119">
        <f t="shared" si="133"/>
        <v>5</v>
      </c>
      <c r="H204" s="119">
        <f t="shared" si="133"/>
        <v>5</v>
      </c>
      <c r="I204" s="119">
        <f t="shared" si="133"/>
        <v>5</v>
      </c>
      <c r="J204" s="119">
        <f t="shared" si="133"/>
        <v>5</v>
      </c>
      <c r="K204" s="119">
        <f t="shared" si="133"/>
        <v>5</v>
      </c>
      <c r="L204" s="119">
        <f t="shared" si="133"/>
        <v>5</v>
      </c>
      <c r="M204" s="119">
        <f t="shared" si="133"/>
        <v>5</v>
      </c>
      <c r="N204" s="119">
        <f t="shared" si="133"/>
        <v>5</v>
      </c>
      <c r="O204" s="119">
        <f t="shared" si="133"/>
        <v>5</v>
      </c>
      <c r="P204" s="119">
        <f t="shared" si="133"/>
        <v>5</v>
      </c>
    </row>
    <row r="205" spans="1:16" s="2" customFormat="1" x14ac:dyDescent="0.25">
      <c r="A205" s="8" t="s">
        <v>11</v>
      </c>
      <c r="E205" s="17">
        <f>SUM(E200:E204)</f>
        <v>8</v>
      </c>
      <c r="F205" s="17">
        <f t="shared" ref="F205:P205" si="134">SUM(F200:F204)</f>
        <v>8</v>
      </c>
      <c r="G205" s="17">
        <f t="shared" si="134"/>
        <v>8</v>
      </c>
      <c r="H205" s="17">
        <f t="shared" si="134"/>
        <v>8</v>
      </c>
      <c r="I205" s="17">
        <f t="shared" si="134"/>
        <v>8</v>
      </c>
      <c r="J205" s="17">
        <f t="shared" si="134"/>
        <v>8</v>
      </c>
      <c r="K205" s="17">
        <f t="shared" si="134"/>
        <v>8</v>
      </c>
      <c r="L205" s="17">
        <f t="shared" si="134"/>
        <v>8</v>
      </c>
      <c r="M205" s="17">
        <f t="shared" si="134"/>
        <v>8</v>
      </c>
      <c r="N205" s="17">
        <f t="shared" si="134"/>
        <v>8</v>
      </c>
      <c r="O205" s="17">
        <f t="shared" si="134"/>
        <v>8</v>
      </c>
      <c r="P205" s="17">
        <f t="shared" si="134"/>
        <v>8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19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6" s="2" customFormat="1" x14ac:dyDescent="0.25">
      <c r="A209" s="2" t="str">
        <f t="shared" ref="A209:B217" si="135">A188</f>
        <v>6114ER</v>
      </c>
      <c r="B209" s="2" t="str">
        <f t="shared" si="135"/>
        <v>Chief Academic Officer (PERS = ER)</v>
      </c>
      <c r="C209" s="6"/>
      <c r="D209" s="85">
        <v>120000</v>
      </c>
      <c r="E209" s="10">
        <f t="shared" ref="E209:E217" si="136">E188*$D209*(1+E$5)</f>
        <v>120000</v>
      </c>
      <c r="F209" s="10">
        <f t="shared" ref="F209:P209" si="137">F188*$D209*(1+F$5)</f>
        <v>122400</v>
      </c>
      <c r="G209" s="10">
        <f t="shared" si="137"/>
        <v>124800</v>
      </c>
      <c r="H209" s="10">
        <f t="shared" si="137"/>
        <v>127200</v>
      </c>
      <c r="I209" s="10">
        <f t="shared" si="137"/>
        <v>129600.00000000001</v>
      </c>
      <c r="J209" s="10">
        <f t="shared" si="137"/>
        <v>132000</v>
      </c>
      <c r="K209" s="10">
        <f t="shared" si="137"/>
        <v>134400</v>
      </c>
      <c r="L209" s="10">
        <f t="shared" si="137"/>
        <v>136800.00000000003</v>
      </c>
      <c r="M209" s="10">
        <f t="shared" si="137"/>
        <v>139200</v>
      </c>
      <c r="N209" s="10">
        <f t="shared" si="137"/>
        <v>141600</v>
      </c>
      <c r="O209" s="10">
        <f t="shared" si="137"/>
        <v>144000</v>
      </c>
      <c r="P209" s="10">
        <f t="shared" si="137"/>
        <v>146400</v>
      </c>
    </row>
    <row r="210" spans="1:16" s="2" customFormat="1" x14ac:dyDescent="0.25">
      <c r="A210" s="2" t="str">
        <f>A189</f>
        <v>6114ER</v>
      </c>
      <c r="B210" s="2" t="str">
        <f>B189</f>
        <v>Chief Operations Officer (PERS = ER)</v>
      </c>
      <c r="C210" s="6"/>
      <c r="D210" s="85">
        <v>120000</v>
      </c>
      <c r="E210" s="10">
        <f t="shared" si="136"/>
        <v>120000</v>
      </c>
      <c r="F210" s="10">
        <f t="shared" ref="F210:P210" si="138">F189*$D210*(1+F$5)</f>
        <v>122400</v>
      </c>
      <c r="G210" s="10">
        <f t="shared" si="138"/>
        <v>124800</v>
      </c>
      <c r="H210" s="10">
        <f t="shared" si="138"/>
        <v>127200</v>
      </c>
      <c r="I210" s="10">
        <f t="shared" si="138"/>
        <v>129600.00000000001</v>
      </c>
      <c r="J210" s="10">
        <f t="shared" si="138"/>
        <v>132000</v>
      </c>
      <c r="K210" s="10">
        <f t="shared" si="138"/>
        <v>134400</v>
      </c>
      <c r="L210" s="10">
        <f t="shared" si="138"/>
        <v>136800.00000000003</v>
      </c>
      <c r="M210" s="10">
        <f t="shared" si="138"/>
        <v>139200</v>
      </c>
      <c r="N210" s="10">
        <f t="shared" si="138"/>
        <v>141600</v>
      </c>
      <c r="O210" s="10">
        <f t="shared" si="138"/>
        <v>144000</v>
      </c>
      <c r="P210" s="10">
        <f t="shared" si="138"/>
        <v>146400</v>
      </c>
    </row>
    <row r="211" spans="1:16" s="2" customFormat="1" x14ac:dyDescent="0.25">
      <c r="A211" s="2" t="str">
        <f t="shared" si="135"/>
        <v>6117EE</v>
      </c>
      <c r="B211" s="2" t="str">
        <f>B190</f>
        <v>Accountability Director (PERS = EE)</v>
      </c>
      <c r="C211" s="6"/>
      <c r="D211" s="85">
        <v>65000</v>
      </c>
      <c r="E211" s="10">
        <f>E190*$D211*(1+E$5)</f>
        <v>65000</v>
      </c>
      <c r="F211" s="10">
        <f t="shared" ref="F211:P211" si="139">F190*$D211*(1+F$5)</f>
        <v>66300</v>
      </c>
      <c r="G211" s="10">
        <f t="shared" si="139"/>
        <v>67600</v>
      </c>
      <c r="H211" s="10">
        <f t="shared" si="139"/>
        <v>68900</v>
      </c>
      <c r="I211" s="10">
        <f t="shared" si="139"/>
        <v>70200</v>
      </c>
      <c r="J211" s="10">
        <f t="shared" si="139"/>
        <v>71500</v>
      </c>
      <c r="K211" s="10">
        <f t="shared" si="139"/>
        <v>72800</v>
      </c>
      <c r="L211" s="10">
        <f t="shared" si="139"/>
        <v>74100.000000000015</v>
      </c>
      <c r="M211" s="10">
        <f t="shared" si="139"/>
        <v>75400</v>
      </c>
      <c r="N211" s="10">
        <f t="shared" si="139"/>
        <v>76700</v>
      </c>
      <c r="O211" s="10">
        <f t="shared" si="139"/>
        <v>78000</v>
      </c>
      <c r="P211" s="10">
        <f t="shared" si="139"/>
        <v>79300</v>
      </c>
    </row>
    <row r="212" spans="1:16" s="2" customFormat="1" x14ac:dyDescent="0.25">
      <c r="A212" s="2" t="str">
        <f>A191</f>
        <v>6117ER</v>
      </c>
      <c r="B212" s="2" t="str">
        <f t="shared" si="135"/>
        <v>Operations Director (PERS = ER)</v>
      </c>
      <c r="C212" s="164"/>
      <c r="D212" s="85">
        <v>60000</v>
      </c>
      <c r="E212" s="10">
        <f t="shared" si="136"/>
        <v>60000</v>
      </c>
      <c r="F212" s="10">
        <f t="shared" ref="F212:P212" si="140">F191*$D212*(1+F$5)</f>
        <v>61200</v>
      </c>
      <c r="G212" s="10">
        <f t="shared" si="140"/>
        <v>62400</v>
      </c>
      <c r="H212" s="10">
        <f t="shared" si="140"/>
        <v>63600</v>
      </c>
      <c r="I212" s="10">
        <f t="shared" si="140"/>
        <v>64800.000000000007</v>
      </c>
      <c r="J212" s="10">
        <f t="shared" si="140"/>
        <v>66000</v>
      </c>
      <c r="K212" s="10">
        <f t="shared" si="140"/>
        <v>67200</v>
      </c>
      <c r="L212" s="10">
        <f t="shared" si="140"/>
        <v>68400.000000000015</v>
      </c>
      <c r="M212" s="10">
        <f t="shared" si="140"/>
        <v>69600</v>
      </c>
      <c r="N212" s="10">
        <f t="shared" si="140"/>
        <v>70800</v>
      </c>
      <c r="O212" s="10">
        <f t="shared" si="140"/>
        <v>72000</v>
      </c>
      <c r="P212" s="10">
        <f t="shared" si="140"/>
        <v>73200</v>
      </c>
    </row>
    <row r="213" spans="1:16" s="2" customFormat="1" x14ac:dyDescent="0.25">
      <c r="A213" s="2" t="str">
        <f t="shared" si="135"/>
        <v>6117EE</v>
      </c>
      <c r="B213" s="2" t="str">
        <f t="shared" si="135"/>
        <v>Marketing Director (PERS = EE)</v>
      </c>
      <c r="C213" s="164"/>
      <c r="D213" s="85">
        <v>65000</v>
      </c>
      <c r="E213" s="10">
        <f t="shared" si="136"/>
        <v>65000</v>
      </c>
      <c r="F213" s="10">
        <f t="shared" ref="F213:P213" si="141">F192*$D213*(1+F$5)</f>
        <v>66300</v>
      </c>
      <c r="G213" s="10">
        <f t="shared" si="141"/>
        <v>67600</v>
      </c>
      <c r="H213" s="10">
        <f t="shared" si="141"/>
        <v>68900</v>
      </c>
      <c r="I213" s="10">
        <f t="shared" si="141"/>
        <v>70200</v>
      </c>
      <c r="J213" s="10">
        <f t="shared" si="141"/>
        <v>71500</v>
      </c>
      <c r="K213" s="10">
        <f t="shared" si="141"/>
        <v>72800</v>
      </c>
      <c r="L213" s="10">
        <f t="shared" si="141"/>
        <v>74100.000000000015</v>
      </c>
      <c r="M213" s="10">
        <f t="shared" si="141"/>
        <v>75400</v>
      </c>
      <c r="N213" s="10">
        <f t="shared" si="141"/>
        <v>76700</v>
      </c>
      <c r="O213" s="10">
        <f t="shared" si="141"/>
        <v>78000</v>
      </c>
      <c r="P213" s="10">
        <f t="shared" si="141"/>
        <v>79300</v>
      </c>
    </row>
    <row r="214" spans="1:16" x14ac:dyDescent="0.25">
      <c r="A214" s="2" t="str">
        <f t="shared" si="135"/>
        <v>6114ER</v>
      </c>
      <c r="B214" s="2" t="str">
        <f>B193</f>
        <v>Executive Director (PERS = ER)</v>
      </c>
      <c r="C214" s="6"/>
      <c r="D214" s="85">
        <v>120000</v>
      </c>
      <c r="E214" s="48">
        <f t="shared" si="136"/>
        <v>120000</v>
      </c>
      <c r="F214" s="48">
        <f t="shared" ref="F214:P214" si="142">F193*$D214*(1+F$5)</f>
        <v>122400</v>
      </c>
      <c r="G214" s="48">
        <f t="shared" si="142"/>
        <v>124800</v>
      </c>
      <c r="H214" s="48">
        <f t="shared" si="142"/>
        <v>127200</v>
      </c>
      <c r="I214" s="48">
        <f t="shared" si="142"/>
        <v>129600.00000000001</v>
      </c>
      <c r="J214" s="48">
        <f t="shared" si="142"/>
        <v>132000</v>
      </c>
      <c r="K214" s="48">
        <f t="shared" si="142"/>
        <v>134400</v>
      </c>
      <c r="L214" s="48">
        <f t="shared" si="142"/>
        <v>136800.00000000003</v>
      </c>
      <c r="M214" s="48">
        <f t="shared" si="142"/>
        <v>139200</v>
      </c>
      <c r="N214" s="48">
        <f t="shared" si="142"/>
        <v>141600</v>
      </c>
      <c r="O214" s="48">
        <f t="shared" si="142"/>
        <v>144000</v>
      </c>
      <c r="P214" s="48">
        <f t="shared" si="142"/>
        <v>146400</v>
      </c>
    </row>
    <row r="215" spans="1:16" x14ac:dyDescent="0.25">
      <c r="A215" s="2" t="str">
        <f>A194</f>
        <v>6117ER</v>
      </c>
      <c r="B215" t="str">
        <f t="shared" si="135"/>
        <v>Accountability Coordinator (PERS = EE)</v>
      </c>
      <c r="C215" s="6"/>
      <c r="D215" s="85">
        <v>60000</v>
      </c>
      <c r="E215" s="48">
        <f t="shared" si="136"/>
        <v>60000</v>
      </c>
      <c r="F215" s="48">
        <f t="shared" ref="F215:P215" si="143">F194*$D215*(1+F$5)</f>
        <v>61200</v>
      </c>
      <c r="G215" s="48">
        <f t="shared" si="143"/>
        <v>62400</v>
      </c>
      <c r="H215" s="48">
        <f t="shared" si="143"/>
        <v>63600</v>
      </c>
      <c r="I215" s="48">
        <f t="shared" si="143"/>
        <v>64800.000000000007</v>
      </c>
      <c r="J215" s="48">
        <f t="shared" si="143"/>
        <v>66000</v>
      </c>
      <c r="K215" s="48">
        <f t="shared" si="143"/>
        <v>67200</v>
      </c>
      <c r="L215" s="48">
        <f t="shared" si="143"/>
        <v>68400.000000000015</v>
      </c>
      <c r="M215" s="48">
        <f t="shared" si="143"/>
        <v>69600</v>
      </c>
      <c r="N215" s="48">
        <f t="shared" si="143"/>
        <v>70800</v>
      </c>
      <c r="O215" s="48">
        <f t="shared" si="143"/>
        <v>72000</v>
      </c>
      <c r="P215" s="48">
        <f t="shared" si="143"/>
        <v>73200</v>
      </c>
    </row>
    <row r="216" spans="1:16" x14ac:dyDescent="0.25">
      <c r="A216" t="str">
        <f t="shared" si="135"/>
        <v>6117EE</v>
      </c>
      <c r="B216" t="str">
        <f t="shared" si="135"/>
        <v>Business Coordinator (PERS = EE)</v>
      </c>
      <c r="C216" s="31"/>
      <c r="D216" s="85">
        <v>50000</v>
      </c>
      <c r="E216" s="48">
        <f t="shared" si="136"/>
        <v>50000</v>
      </c>
      <c r="F216" s="48">
        <f t="shared" ref="F216:P216" si="144">F195*$D216*(1+F$5)</f>
        <v>51000</v>
      </c>
      <c r="G216" s="48">
        <f t="shared" si="144"/>
        <v>52000</v>
      </c>
      <c r="H216" s="48">
        <f t="shared" si="144"/>
        <v>53000</v>
      </c>
      <c r="I216" s="48">
        <f t="shared" si="144"/>
        <v>54000</v>
      </c>
      <c r="J216" s="48">
        <f t="shared" si="144"/>
        <v>55000.000000000007</v>
      </c>
      <c r="K216" s="48">
        <f t="shared" si="144"/>
        <v>56000.000000000007</v>
      </c>
      <c r="L216" s="48">
        <f t="shared" si="144"/>
        <v>57000.000000000007</v>
      </c>
      <c r="M216" s="48">
        <f t="shared" si="144"/>
        <v>57999.999999999993</v>
      </c>
      <c r="N216" s="48">
        <f t="shared" si="144"/>
        <v>59000</v>
      </c>
      <c r="O216" s="48">
        <f t="shared" si="144"/>
        <v>60000</v>
      </c>
      <c r="P216" s="48">
        <f t="shared" si="144"/>
        <v>61000</v>
      </c>
    </row>
    <row r="217" spans="1:16" x14ac:dyDescent="0.25">
      <c r="A217">
        <f t="shared" si="135"/>
        <v>0</v>
      </c>
      <c r="B217" t="str">
        <f t="shared" si="135"/>
        <v>Open_01</v>
      </c>
      <c r="C217" s="31"/>
      <c r="D217" s="85">
        <v>0</v>
      </c>
      <c r="E217" s="49">
        <f t="shared" si="136"/>
        <v>0</v>
      </c>
      <c r="F217" s="49">
        <f t="shared" ref="F217:P217" si="145">F196*$D217*(1+F$5)</f>
        <v>0</v>
      </c>
      <c r="G217" s="49">
        <f t="shared" si="145"/>
        <v>0</v>
      </c>
      <c r="H217" s="49">
        <f t="shared" si="145"/>
        <v>0</v>
      </c>
      <c r="I217" s="49">
        <f t="shared" si="145"/>
        <v>0</v>
      </c>
      <c r="J217" s="49">
        <f t="shared" si="145"/>
        <v>0</v>
      </c>
      <c r="K217" s="49">
        <f t="shared" si="145"/>
        <v>0</v>
      </c>
      <c r="L217" s="49">
        <f t="shared" si="145"/>
        <v>0</v>
      </c>
      <c r="M217" s="49">
        <f t="shared" si="145"/>
        <v>0</v>
      </c>
      <c r="N217" s="49">
        <f t="shared" si="145"/>
        <v>0</v>
      </c>
      <c r="O217" s="49">
        <f t="shared" si="145"/>
        <v>0</v>
      </c>
      <c r="P217" s="49">
        <f t="shared" si="145"/>
        <v>0</v>
      </c>
    </row>
    <row r="218" spans="1:16" x14ac:dyDescent="0.25">
      <c r="C218" s="31"/>
      <c r="E218" s="48">
        <f t="shared" ref="E218:P218" si="146">SUM(E209:E217)</f>
        <v>660000</v>
      </c>
      <c r="F218" s="48">
        <f t="shared" si="146"/>
        <v>673200</v>
      </c>
      <c r="G218" s="48">
        <f t="shared" si="146"/>
        <v>686400</v>
      </c>
      <c r="H218" s="48">
        <f t="shared" si="146"/>
        <v>699600</v>
      </c>
      <c r="I218" s="48">
        <f t="shared" si="146"/>
        <v>712800</v>
      </c>
      <c r="J218" s="48">
        <f t="shared" si="146"/>
        <v>726000</v>
      </c>
      <c r="K218" s="48">
        <f t="shared" si="146"/>
        <v>739200</v>
      </c>
      <c r="L218" s="48">
        <f t="shared" si="146"/>
        <v>752400.00000000012</v>
      </c>
      <c r="M218" s="48">
        <f t="shared" si="146"/>
        <v>765600</v>
      </c>
      <c r="N218" s="48">
        <f t="shared" si="146"/>
        <v>778800</v>
      </c>
      <c r="O218" s="48">
        <f t="shared" si="146"/>
        <v>792000</v>
      </c>
      <c r="P218" s="48">
        <f t="shared" si="146"/>
        <v>805200</v>
      </c>
    </row>
    <row r="219" spans="1:16" x14ac:dyDescent="0.25">
      <c r="C219" s="31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16"/>
      <c r="B222" s="2" t="s">
        <v>460</v>
      </c>
      <c r="C222" s="192"/>
      <c r="D222" s="2"/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</row>
    <row r="223" spans="1:16" x14ac:dyDescent="0.25">
      <c r="A223" s="16"/>
      <c r="B223" s="2" t="s">
        <v>461</v>
      </c>
      <c r="C223" s="6" t="s">
        <v>541</v>
      </c>
      <c r="D223" s="2"/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</row>
    <row r="224" spans="1:16" x14ac:dyDescent="0.25">
      <c r="A224" s="2"/>
      <c r="B224" s="2" t="s">
        <v>462</v>
      </c>
      <c r="C224" s="31"/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</row>
  </sheetData>
  <printOptions horizontalCentered="1"/>
  <pageMargins left="0.7" right="0.7" top="0.75" bottom="0.75" header="0.3" footer="0.3"/>
  <pageSetup paperSize="17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6"/>
    <pageSetUpPr fitToPage="1"/>
  </sheetPr>
  <dimension ref="A1:BH224"/>
  <sheetViews>
    <sheetView workbookViewId="0">
      <selection activeCell="C195" sqref="C195"/>
    </sheetView>
  </sheetViews>
  <sheetFormatPr defaultColWidth="8.85546875" defaultRowHeight="15" outlineLevelRow="2" x14ac:dyDescent="0.25"/>
  <cols>
    <col min="2" max="2" width="49" customWidth="1"/>
    <col min="3" max="3" width="58.28515625" customWidth="1"/>
    <col min="4" max="4" width="14.85546875" customWidth="1"/>
    <col min="5" max="16" width="12.7109375" customWidth="1"/>
    <col min="31" max="31" width="13.855468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Site1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 t="shared" ref="F5:P5" si="1">F4+E5</f>
        <v>0.02</v>
      </c>
      <c r="G5" s="81">
        <f t="shared" si="1"/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1.02</v>
      </c>
      <c r="F13" s="94">
        <f>E13</f>
        <v>1.02</v>
      </c>
      <c r="G13" s="94">
        <f t="shared" ref="G13:P16" si="8">F13</f>
        <v>1.02</v>
      </c>
      <c r="H13" s="64">
        <f t="shared" si="8"/>
        <v>1.02</v>
      </c>
      <c r="I13" s="64">
        <f t="shared" si="8"/>
        <v>1.02</v>
      </c>
      <c r="J13" s="64">
        <f t="shared" si="8"/>
        <v>1.02</v>
      </c>
      <c r="K13" s="64">
        <f t="shared" si="8"/>
        <v>1.02</v>
      </c>
      <c r="L13" s="64">
        <f t="shared" si="8"/>
        <v>1.02</v>
      </c>
      <c r="M13" s="64">
        <f t="shared" si="8"/>
        <v>1.02</v>
      </c>
      <c r="N13" s="64">
        <f t="shared" si="8"/>
        <v>1.02</v>
      </c>
      <c r="O13" s="64">
        <f t="shared" si="8"/>
        <v>1.02</v>
      </c>
      <c r="P13" s="64">
        <f t="shared" si="8"/>
        <v>1.02</v>
      </c>
    </row>
    <row r="14" spans="1:60" x14ac:dyDescent="0.25">
      <c r="A14" s="30"/>
      <c r="B14" t="s">
        <v>141</v>
      </c>
      <c r="E14" s="93">
        <v>0.25</v>
      </c>
      <c r="F14" s="64">
        <f>E14</f>
        <v>0.25</v>
      </c>
      <c r="G14" s="64">
        <f t="shared" si="8"/>
        <v>0.25</v>
      </c>
      <c r="H14" s="64">
        <f t="shared" si="8"/>
        <v>0.25</v>
      </c>
      <c r="I14" s="64">
        <f t="shared" si="8"/>
        <v>0.25</v>
      </c>
      <c r="J14" s="64">
        <f t="shared" si="8"/>
        <v>0.25</v>
      </c>
      <c r="K14" s="64">
        <f t="shared" si="8"/>
        <v>0.25</v>
      </c>
      <c r="L14" s="64">
        <f t="shared" si="8"/>
        <v>0.25</v>
      </c>
      <c r="M14" s="64">
        <f t="shared" si="8"/>
        <v>0.25</v>
      </c>
      <c r="N14" s="64">
        <f t="shared" si="8"/>
        <v>0.25</v>
      </c>
      <c r="O14" s="64">
        <f t="shared" si="8"/>
        <v>0.25</v>
      </c>
      <c r="P14" s="64">
        <f t="shared" si="8"/>
        <v>0.25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>E13*E182</f>
        <v>306</v>
      </c>
      <c r="F17" s="31">
        <f t="shared" ref="F17:P17" si="10">F13*F182</f>
        <v>312.12</v>
      </c>
      <c r="G17" s="31">
        <f t="shared" si="10"/>
        <v>318.24</v>
      </c>
      <c r="H17" s="31">
        <f t="shared" si="10"/>
        <v>324.36</v>
      </c>
      <c r="I17" s="31">
        <f t="shared" si="10"/>
        <v>330.48</v>
      </c>
      <c r="J17" s="31">
        <f t="shared" si="10"/>
        <v>336.6</v>
      </c>
      <c r="K17" s="31">
        <f t="shared" si="10"/>
        <v>343.74</v>
      </c>
      <c r="L17" s="31">
        <f t="shared" si="10"/>
        <v>350.88</v>
      </c>
      <c r="M17" s="31">
        <f t="shared" si="10"/>
        <v>358.02</v>
      </c>
      <c r="N17" s="31">
        <f t="shared" si="10"/>
        <v>365.16</v>
      </c>
      <c r="O17" s="31">
        <f t="shared" si="10"/>
        <v>372.3</v>
      </c>
      <c r="P17" s="31">
        <f t="shared" si="10"/>
        <v>379.44</v>
      </c>
    </row>
    <row r="18" spans="1:16" x14ac:dyDescent="0.25">
      <c r="A18" s="30"/>
      <c r="B18" s="18" t="s">
        <v>145</v>
      </c>
      <c r="E18" s="31">
        <f>+E17*E14</f>
        <v>76.5</v>
      </c>
      <c r="F18" s="31">
        <f>+F17*F14</f>
        <v>78.03</v>
      </c>
      <c r="G18" s="31">
        <f>+G17*G14</f>
        <v>79.56</v>
      </c>
      <c r="H18" s="31">
        <f>+H17*H14</f>
        <v>81.09</v>
      </c>
      <c r="I18" s="31">
        <f>+I17*I14</f>
        <v>82.62</v>
      </c>
      <c r="J18" s="31">
        <f t="shared" ref="J18:P18" si="11">+J17*J14</f>
        <v>84.15</v>
      </c>
      <c r="K18" s="31">
        <f t="shared" si="11"/>
        <v>85.935000000000002</v>
      </c>
      <c r="L18" s="31">
        <f t="shared" si="11"/>
        <v>87.72</v>
      </c>
      <c r="M18" s="31">
        <f t="shared" si="11"/>
        <v>89.504999999999995</v>
      </c>
      <c r="N18" s="31">
        <f t="shared" si="11"/>
        <v>91.29</v>
      </c>
      <c r="O18" s="31">
        <f t="shared" si="11"/>
        <v>93.075000000000003</v>
      </c>
      <c r="P18" s="31">
        <f t="shared" si="11"/>
        <v>94.86</v>
      </c>
    </row>
    <row r="19" spans="1:16" x14ac:dyDescent="0.25">
      <c r="A19" s="30"/>
      <c r="B19" s="18" t="s">
        <v>146</v>
      </c>
      <c r="E19" s="31">
        <f t="shared" ref="E19:P19" si="12">E182*E15</f>
        <v>30</v>
      </c>
      <c r="F19" s="31">
        <f t="shared" si="12"/>
        <v>30.6</v>
      </c>
      <c r="G19" s="31">
        <f t="shared" si="12"/>
        <v>31.200000000000003</v>
      </c>
      <c r="H19" s="31">
        <f t="shared" si="12"/>
        <v>31.8</v>
      </c>
      <c r="I19" s="31">
        <f t="shared" si="12"/>
        <v>32.4</v>
      </c>
      <c r="J19" s="31">
        <f t="shared" si="12"/>
        <v>33</v>
      </c>
      <c r="K19" s="31">
        <f t="shared" si="12"/>
        <v>33.700000000000003</v>
      </c>
      <c r="L19" s="31">
        <f t="shared" si="12"/>
        <v>34.4</v>
      </c>
      <c r="M19" s="31">
        <f t="shared" si="12"/>
        <v>35.1</v>
      </c>
      <c r="N19" s="31">
        <f t="shared" si="12"/>
        <v>35.800000000000004</v>
      </c>
      <c r="O19" s="31">
        <f t="shared" si="12"/>
        <v>36.5</v>
      </c>
      <c r="P19" s="31">
        <f t="shared" si="12"/>
        <v>37.200000000000003</v>
      </c>
    </row>
    <row r="20" spans="1:16" x14ac:dyDescent="0.25">
      <c r="A20" s="30"/>
      <c r="B20" s="18" t="s">
        <v>147</v>
      </c>
      <c r="E20" s="31">
        <f t="shared" ref="E20:P20" si="13">E182*E16</f>
        <v>3</v>
      </c>
      <c r="F20" s="31">
        <f t="shared" si="13"/>
        <v>3.06</v>
      </c>
      <c r="G20" s="31">
        <f t="shared" si="13"/>
        <v>3.12</v>
      </c>
      <c r="H20" s="31">
        <f t="shared" si="13"/>
        <v>3.18</v>
      </c>
      <c r="I20" s="31">
        <f t="shared" si="13"/>
        <v>3.24</v>
      </c>
      <c r="J20" s="31">
        <f t="shared" si="13"/>
        <v>3.3000000000000003</v>
      </c>
      <c r="K20" s="31">
        <f t="shared" si="13"/>
        <v>3.37</v>
      </c>
      <c r="L20" s="31">
        <f t="shared" si="13"/>
        <v>3.44</v>
      </c>
      <c r="M20" s="31">
        <f t="shared" si="13"/>
        <v>3.5100000000000002</v>
      </c>
      <c r="N20" s="31">
        <f t="shared" si="13"/>
        <v>3.58</v>
      </c>
      <c r="O20" s="31">
        <f t="shared" si="13"/>
        <v>3.65</v>
      </c>
      <c r="P20" s="31">
        <f t="shared" si="13"/>
        <v>3.72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C23" s="2" t="s">
        <v>680</v>
      </c>
      <c r="D23" s="324">
        <f>1-CSO!D23</f>
        <v>0.7</v>
      </c>
      <c r="E23" s="6">
        <f>(0.5*(E17*Revenue!D8)*$D23)+(0.5*(E182*Revenue!D8)*$D23)</f>
        <v>1421070</v>
      </c>
      <c r="F23" s="6">
        <f>(0.5*(F17*Revenue!E8)*$D23)+(0.5*(F182*Revenue!E8)*$D23)</f>
        <v>1460362.5855</v>
      </c>
      <c r="G23" s="6">
        <f>(0.5*(G17*Revenue!F8)*$D23)+(0.5*(G182*Revenue!F8)*$D23)</f>
        <v>1500164.6245950002</v>
      </c>
      <c r="H23" s="6">
        <f>(0.5*(H17*Revenue!G8)*$D23)+(0.5*(H182*Revenue!G8)*$D23)</f>
        <v>1540481.5488809908</v>
      </c>
      <c r="I23" s="6">
        <f>(0.5*(I17*Revenue!H8)*$D23)+(0.5*(I182*Revenue!H8)*$D23)</f>
        <v>1581318.8427711378</v>
      </c>
      <c r="J23" s="6">
        <f>(0.5*(J17*Revenue!I8)*$D23)+(0.5*(J182*Revenue!I8)*$D23)</f>
        <v>1622682.0439825126</v>
      </c>
      <c r="K23" s="6">
        <f>(0.5*(K17*Revenue!J8)*$D23)+(0.5*(K182*Revenue!J8)*$D23)</f>
        <v>1669530.8414796139</v>
      </c>
      <c r="L23" s="6">
        <f>(0.5*(L17*Revenue!K8)*$D23)+(0.5*(L182*Revenue!K8)*$D23)</f>
        <v>1716991.0950741977</v>
      </c>
      <c r="M23" s="6">
        <f>(0.5*(M17*Revenue!L8)*$D23)+(0.5*(M182*Revenue!L8)*$D23)</f>
        <v>1765069.341362867</v>
      </c>
      <c r="N23" s="6">
        <f>(0.5*(N17*Revenue!M8)*$D23)+(0.5*(N182*Revenue!M8)*$D23)</f>
        <v>1813772.1805967684</v>
      </c>
      <c r="O23" s="6">
        <f>(0.5*(O17*Revenue!N8)*$D23)+(0.5*(O182*Revenue!N8)*$D23)</f>
        <v>1863106.2772687266</v>
      </c>
      <c r="P23" s="6">
        <f>(0.5*(P17*Revenue!O8)*$D23)+(0.5*(P182*Revenue!O8)*$D23)</f>
        <v>1913078.3607056057</v>
      </c>
    </row>
    <row r="24" spans="1:16" s="2" customFormat="1" collapsed="1" x14ac:dyDescent="0.25">
      <c r="A24" s="16"/>
      <c r="B24" s="16" t="s">
        <v>427</v>
      </c>
      <c r="D24" s="325"/>
      <c r="E24" s="174">
        <f t="shared" ref="E24:P24" si="15">SUM(E23:E23)</f>
        <v>1421070</v>
      </c>
      <c r="F24" s="174">
        <f t="shared" si="15"/>
        <v>1460362.5855</v>
      </c>
      <c r="G24" s="174">
        <f t="shared" si="15"/>
        <v>1500164.6245950002</v>
      </c>
      <c r="H24" s="174">
        <f t="shared" si="15"/>
        <v>1540481.5488809908</v>
      </c>
      <c r="I24" s="174">
        <f t="shared" si="15"/>
        <v>1581318.8427711378</v>
      </c>
      <c r="J24" s="174">
        <f t="shared" si="15"/>
        <v>1622682.0439825126</v>
      </c>
      <c r="K24" s="174">
        <f t="shared" si="15"/>
        <v>1669530.8414796139</v>
      </c>
      <c r="L24" s="174">
        <f t="shared" si="15"/>
        <v>1716991.0950741977</v>
      </c>
      <c r="M24" s="174">
        <f t="shared" si="15"/>
        <v>1765069.341362867</v>
      </c>
      <c r="N24" s="174">
        <f t="shared" si="15"/>
        <v>1813772.1805967684</v>
      </c>
      <c r="O24" s="174">
        <f t="shared" si="15"/>
        <v>1863106.2772687266</v>
      </c>
      <c r="P24" s="174">
        <f t="shared" si="15"/>
        <v>1913078.3607056057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708</v>
      </c>
      <c r="E25" s="6">
        <f>IF($D25="YES",0,E$17*Revenue!D$12)</f>
        <v>0</v>
      </c>
      <c r="F25" s="6">
        <f>IF($D25="YES",0,F$17*Revenue!E$12)</f>
        <v>0</v>
      </c>
      <c r="G25" s="6">
        <f>IF($D25="YES",0,G$17*Revenue!F$12)</f>
        <v>0</v>
      </c>
      <c r="H25" s="6">
        <f>IF($D25="YES",0,H$17*Revenue!G$12)</f>
        <v>0</v>
      </c>
      <c r="I25" s="6">
        <f>IF($D25="YES",0,I$17*Revenue!H$12)</f>
        <v>0</v>
      </c>
      <c r="J25" s="6">
        <f>IF($D25="YES",0,J$17*Revenue!I$12)</f>
        <v>0</v>
      </c>
      <c r="K25" s="6">
        <f>IF($D25="YES",0,K$17*Revenue!J$12)</f>
        <v>0</v>
      </c>
      <c r="L25" s="6">
        <f>IF($D25="YES",0,L$17*Revenue!K$12)</f>
        <v>0</v>
      </c>
      <c r="M25" s="6">
        <f>IF($D25="YES",0,M$17*Revenue!L$12)</f>
        <v>0</v>
      </c>
      <c r="N25" s="6">
        <f>IF($D25="YES",0,N$17*Revenue!M$12)</f>
        <v>0</v>
      </c>
      <c r="O25" s="6">
        <f>IF($D25="YES",0,O$17*Revenue!N$12)</f>
        <v>0</v>
      </c>
      <c r="P25" s="6">
        <f>IF($D25="YES",0,P$17*Revenue!O$12)</f>
        <v>0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tr">
        <f>Assumptions!B15</f>
        <v>YES</v>
      </c>
      <c r="E27" s="6">
        <f>IF($D27="YES",0,E$17*Revenue!D$19)</f>
        <v>0</v>
      </c>
      <c r="F27" s="6">
        <f>IF($D27="YES",0,F$17*Revenue!E$19)</f>
        <v>0</v>
      </c>
      <c r="G27" s="6">
        <f>IF($D27="YES",0,G$17*Revenue!F$19)</f>
        <v>0</v>
      </c>
      <c r="H27" s="6">
        <f>IF($D27="YES",0,H$17*Revenue!G$19)</f>
        <v>0</v>
      </c>
      <c r="I27" s="6">
        <f>IF($D27="YES",0,I$17*Revenue!H$19)</f>
        <v>0</v>
      </c>
      <c r="J27" s="6">
        <f>IF($D27="YES",0,J$17*Revenue!I$19)</f>
        <v>0</v>
      </c>
      <c r="K27" s="6">
        <f>IF($D27="YES",0,K$17*Revenue!J$19)</f>
        <v>0</v>
      </c>
      <c r="L27" s="6">
        <f>IF($D27="YES",0,L$17*Revenue!K$19)</f>
        <v>0</v>
      </c>
      <c r="M27" s="6">
        <f>IF($D27="YES",0,M$17*Revenue!L$19)</f>
        <v>0</v>
      </c>
      <c r="N27" s="6">
        <f>IF($D27="YES",0,N$17*Revenue!M$19)</f>
        <v>0</v>
      </c>
      <c r="O27" s="6">
        <f>IF($D27="YES",0,O$17*Revenue!N$19)</f>
        <v>0</v>
      </c>
      <c r="P27" s="6">
        <f>IF($D27="YES",0,P$17*Revenue!O$19)</f>
        <v>0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6">F125*0.5</f>
        <v>0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0</v>
      </c>
      <c r="K28" s="32">
        <f t="shared" si="16"/>
        <v>0</v>
      </c>
      <c r="L28" s="32">
        <f t="shared" si="16"/>
        <v>0</v>
      </c>
      <c r="M28" s="32">
        <f t="shared" si="16"/>
        <v>0</v>
      </c>
      <c r="N28" s="32">
        <f t="shared" si="16"/>
        <v>0</v>
      </c>
      <c r="O28" s="32">
        <f t="shared" si="16"/>
        <v>0</v>
      </c>
      <c r="P28" s="32">
        <f t="shared" si="16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7">SUM(E25:E28)</f>
        <v>0</v>
      </c>
      <c r="F29" s="174">
        <f t="shared" si="17"/>
        <v>0</v>
      </c>
      <c r="G29" s="174">
        <f t="shared" si="17"/>
        <v>0</v>
      </c>
      <c r="H29" s="174">
        <f t="shared" si="17"/>
        <v>0</v>
      </c>
      <c r="I29" s="174">
        <f t="shared" si="17"/>
        <v>0</v>
      </c>
      <c r="J29" s="174">
        <f t="shared" si="17"/>
        <v>0</v>
      </c>
      <c r="K29" s="174">
        <f t="shared" si="17"/>
        <v>0</v>
      </c>
      <c r="L29" s="174">
        <f t="shared" si="17"/>
        <v>0</v>
      </c>
      <c r="M29" s="174">
        <f t="shared" si="17"/>
        <v>0</v>
      </c>
      <c r="N29" s="174">
        <f t="shared" si="17"/>
        <v>0</v>
      </c>
      <c r="O29" s="174">
        <f t="shared" si="17"/>
        <v>0</v>
      </c>
      <c r="P29" s="174">
        <f t="shared" si="17"/>
        <v>0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708</v>
      </c>
      <c r="E30" s="6">
        <f>IF($D30="YES",0,E$17*Revenue!D$17)</f>
        <v>0</v>
      </c>
      <c r="F30" s="6">
        <f>IF($D30="YES",0,F$17*Revenue!E$17)</f>
        <v>0</v>
      </c>
      <c r="G30" s="6">
        <f>IF($D30="YES",0,G$17*Revenue!F$17)</f>
        <v>0</v>
      </c>
      <c r="H30" s="6">
        <f>IF($D30="YES",0,H$17*Revenue!G$17)</f>
        <v>0</v>
      </c>
      <c r="I30" s="6">
        <f>IF($D30="YES",0,I$17*Revenue!H$17)</f>
        <v>0</v>
      </c>
      <c r="J30" s="6">
        <f>IF($D30="YES",0,J$17*Revenue!I$17)</f>
        <v>0</v>
      </c>
      <c r="K30" s="6">
        <f>IF($D30="YES",0,K$17*Revenue!J$17)</f>
        <v>0</v>
      </c>
      <c r="L30" s="6">
        <f>IF($D30="YES",0,L$17*Revenue!K$17)</f>
        <v>0</v>
      </c>
      <c r="M30" s="6">
        <f>IF($D30="YES",0,M$17*Revenue!L$17)</f>
        <v>0</v>
      </c>
      <c r="N30" s="6">
        <f>IF($D30="YES",0,N$17*Revenue!M$17)</f>
        <v>0</v>
      </c>
      <c r="O30" s="6">
        <f>IF($D30="YES",0,O$17*Revenue!N$17)</f>
        <v>0</v>
      </c>
      <c r="P30" s="6">
        <f>IF($D30="YES",0,P$17*Revenue!O$17)</f>
        <v>0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74">
        <f t="shared" ref="E34:P34" si="18">SUM(E30:E33)</f>
        <v>0</v>
      </c>
      <c r="F34" s="174">
        <f t="shared" si="18"/>
        <v>0</v>
      </c>
      <c r="G34" s="174">
        <f t="shared" si="18"/>
        <v>0</v>
      </c>
      <c r="H34" s="174">
        <f t="shared" si="18"/>
        <v>0</v>
      </c>
      <c r="I34" s="174">
        <f t="shared" si="18"/>
        <v>0</v>
      </c>
      <c r="J34" s="174">
        <f t="shared" si="18"/>
        <v>0</v>
      </c>
      <c r="K34" s="174">
        <f t="shared" si="18"/>
        <v>0</v>
      </c>
      <c r="L34" s="174">
        <f t="shared" si="18"/>
        <v>0</v>
      </c>
      <c r="M34" s="174">
        <f t="shared" si="18"/>
        <v>0</v>
      </c>
      <c r="N34" s="174">
        <f t="shared" si="18"/>
        <v>0</v>
      </c>
      <c r="O34" s="174">
        <f t="shared" si="18"/>
        <v>0</v>
      </c>
      <c r="P34" s="174">
        <f t="shared" si="18"/>
        <v>0</v>
      </c>
    </row>
    <row r="35" spans="1:16" s="2" customFormat="1" hidden="1" outlineLevel="1" x14ac:dyDescent="0.25">
      <c r="A35" s="16"/>
      <c r="B35" s="6" t="s">
        <v>681</v>
      </c>
      <c r="D35" s="82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74">
        <f>SUM(E35:E37)</f>
        <v>0</v>
      </c>
      <c r="F38" s="174">
        <f t="shared" ref="F38:P38" si="19">SUM(F35:F37)</f>
        <v>0</v>
      </c>
      <c r="G38" s="174">
        <f t="shared" si="19"/>
        <v>0</v>
      </c>
      <c r="H38" s="174">
        <f t="shared" si="19"/>
        <v>0</v>
      </c>
      <c r="I38" s="174">
        <f t="shared" si="19"/>
        <v>0</v>
      </c>
      <c r="J38" s="174">
        <f t="shared" si="19"/>
        <v>0</v>
      </c>
      <c r="K38" s="174">
        <f t="shared" si="19"/>
        <v>0</v>
      </c>
      <c r="L38" s="174">
        <f t="shared" si="19"/>
        <v>0</v>
      </c>
      <c r="M38" s="174">
        <f t="shared" si="19"/>
        <v>0</v>
      </c>
      <c r="N38" s="174">
        <f t="shared" si="19"/>
        <v>0</v>
      </c>
      <c r="O38" s="174">
        <f t="shared" si="19"/>
        <v>0</v>
      </c>
      <c r="P38" s="174">
        <f t="shared" si="19"/>
        <v>0</v>
      </c>
    </row>
    <row r="39" spans="1:16" s="2" customFormat="1" ht="15.75" thickBot="1" x14ac:dyDescent="0.3">
      <c r="A39" s="16" t="s">
        <v>210</v>
      </c>
      <c r="E39" s="131">
        <f>E34+E29+E24+E38</f>
        <v>1421070</v>
      </c>
      <c r="F39" s="131">
        <f t="shared" ref="F39:P39" si="20">F34+F29+F24+F38</f>
        <v>1460362.5855</v>
      </c>
      <c r="G39" s="131">
        <f t="shared" si="20"/>
        <v>1500164.6245950002</v>
      </c>
      <c r="H39" s="131">
        <f t="shared" si="20"/>
        <v>1540481.5488809908</v>
      </c>
      <c r="I39" s="131">
        <f t="shared" si="20"/>
        <v>1581318.8427711378</v>
      </c>
      <c r="J39" s="131">
        <f t="shared" si="20"/>
        <v>1622682.0439825126</v>
      </c>
      <c r="K39" s="131">
        <f t="shared" si="20"/>
        <v>1669530.8414796139</v>
      </c>
      <c r="L39" s="131">
        <f t="shared" si="20"/>
        <v>1716991.0950741977</v>
      </c>
      <c r="M39" s="131">
        <f t="shared" si="20"/>
        <v>1765069.341362867</v>
      </c>
      <c r="N39" s="131">
        <f t="shared" si="20"/>
        <v>1813772.1805967684</v>
      </c>
      <c r="O39" s="131">
        <f t="shared" si="20"/>
        <v>1863106.2772687266</v>
      </c>
      <c r="P39" s="131">
        <f t="shared" si="20"/>
        <v>1913078.3607056057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62" t="s">
        <v>750</v>
      </c>
      <c r="D42" s="331">
        <v>1.144827</v>
      </c>
      <c r="E42" s="294">
        <f>IF(E$182=0,0,SUMIFS(E$209:E$217,$A$209:$A$217,$A42))*$D42</f>
        <v>68689.62</v>
      </c>
      <c r="F42" s="294">
        <f t="shared" ref="F42:P42" si="22">IF(F$182=0,0,SUMIFS(F$209:F$217,$A$209:$A$217,$A42))*$D42</f>
        <v>70063.412400000001</v>
      </c>
      <c r="G42" s="294">
        <f t="shared" si="22"/>
        <v>71437.204800000007</v>
      </c>
      <c r="H42" s="294">
        <f t="shared" si="22"/>
        <v>72810.997199999998</v>
      </c>
      <c r="I42" s="294">
        <f t="shared" si="22"/>
        <v>74184.789600000004</v>
      </c>
      <c r="J42" s="294">
        <f t="shared" si="22"/>
        <v>75558.582000000009</v>
      </c>
      <c r="K42" s="294">
        <f t="shared" si="22"/>
        <v>76932.374400000001</v>
      </c>
      <c r="L42" s="294">
        <f t="shared" si="22"/>
        <v>78306.166800000021</v>
      </c>
      <c r="M42" s="294">
        <f t="shared" si="22"/>
        <v>79679.959199999998</v>
      </c>
      <c r="N42" s="294">
        <f t="shared" si="22"/>
        <v>81053.751600000003</v>
      </c>
      <c r="O42" s="294">
        <f t="shared" si="22"/>
        <v>82427.544000000009</v>
      </c>
      <c r="P42" s="294">
        <f t="shared" si="22"/>
        <v>83801.3364</v>
      </c>
    </row>
    <row r="43" spans="1:16" s="2" customFormat="1" hidden="1" outlineLevel="2" x14ac:dyDescent="0.25">
      <c r="A43" s="62" t="s">
        <v>402</v>
      </c>
      <c r="B43" s="18" t="s">
        <v>372</v>
      </c>
      <c r="C43" s="62" t="s">
        <v>751</v>
      </c>
      <c r="D43" s="332">
        <v>1.1299999999999999E-2</v>
      </c>
      <c r="E43" s="107">
        <f>SUMIFS(E$209:E$217,$A$209:$A$217,$A43)*(1-$D43)</f>
        <v>0</v>
      </c>
      <c r="F43" s="107">
        <f t="shared" ref="F43:P43" si="23">SUMIFS(F$209:F$217,$A$209:$A$217,$A43)*(1-$D43)</f>
        <v>0</v>
      </c>
      <c r="G43" s="107">
        <f t="shared" si="23"/>
        <v>0</v>
      </c>
      <c r="H43" s="107">
        <f t="shared" si="23"/>
        <v>0</v>
      </c>
      <c r="I43" s="107">
        <f t="shared" si="23"/>
        <v>0</v>
      </c>
      <c r="J43" s="107">
        <f t="shared" si="23"/>
        <v>0</v>
      </c>
      <c r="K43" s="107">
        <f t="shared" si="23"/>
        <v>0</v>
      </c>
      <c r="L43" s="107">
        <f t="shared" si="23"/>
        <v>0</v>
      </c>
      <c r="M43" s="107">
        <f t="shared" si="23"/>
        <v>0</v>
      </c>
      <c r="N43" s="107">
        <f t="shared" si="23"/>
        <v>0</v>
      </c>
      <c r="O43" s="107">
        <f t="shared" si="23"/>
        <v>0</v>
      </c>
      <c r="P43" s="107">
        <f t="shared" si="23"/>
        <v>0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68689.62</v>
      </c>
      <c r="F44" s="107">
        <f t="shared" ref="F44:P44" si="24">SUM(F42:F43)</f>
        <v>70063.412400000001</v>
      </c>
      <c r="G44" s="107">
        <f t="shared" si="24"/>
        <v>71437.204800000007</v>
      </c>
      <c r="H44" s="107">
        <f t="shared" si="24"/>
        <v>72810.997199999998</v>
      </c>
      <c r="I44" s="107">
        <f t="shared" si="24"/>
        <v>74184.789600000004</v>
      </c>
      <c r="J44" s="107">
        <f t="shared" si="24"/>
        <v>75558.582000000009</v>
      </c>
      <c r="K44" s="107">
        <f t="shared" si="24"/>
        <v>76932.374400000001</v>
      </c>
      <c r="L44" s="107">
        <f t="shared" si="24"/>
        <v>78306.166800000021</v>
      </c>
      <c r="M44" s="107">
        <f t="shared" si="24"/>
        <v>79679.959199999998</v>
      </c>
      <c r="N44" s="107">
        <f t="shared" si="24"/>
        <v>81053.751600000003</v>
      </c>
      <c r="O44" s="107">
        <f t="shared" si="24"/>
        <v>82427.544000000009</v>
      </c>
      <c r="P44" s="107">
        <f t="shared" si="24"/>
        <v>83801.3364</v>
      </c>
    </row>
    <row r="45" spans="1:16" s="2" customFormat="1" hidden="1" outlineLevel="2" x14ac:dyDescent="0.25">
      <c r="A45" s="195" t="s">
        <v>403</v>
      </c>
      <c r="B45" s="74" t="s">
        <v>382</v>
      </c>
      <c r="C45" s="62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62" t="s">
        <v>751</v>
      </c>
      <c r="D46" s="332">
        <v>1.1299999999999999E-2</v>
      </c>
      <c r="E46" s="107">
        <f>SUMIFS(E$209:E$217,$A$209:$A$217,$A46)*(1-$D46)</f>
        <v>84039.5</v>
      </c>
      <c r="F46" s="107">
        <f t="shared" ref="F46:P46" si="26">SUMIFS(F$209:F$217,$A$209:$A$217,$A46)*(1-$D46)</f>
        <v>85720.290000000008</v>
      </c>
      <c r="G46" s="107">
        <f t="shared" si="26"/>
        <v>87401.08</v>
      </c>
      <c r="H46" s="107">
        <f t="shared" si="26"/>
        <v>89081.87</v>
      </c>
      <c r="I46" s="107">
        <f t="shared" si="26"/>
        <v>90762.66</v>
      </c>
      <c r="J46" s="107">
        <f t="shared" si="26"/>
        <v>92443.450000000012</v>
      </c>
      <c r="K46" s="107">
        <f t="shared" si="26"/>
        <v>94124.24000000002</v>
      </c>
      <c r="L46" s="107">
        <f t="shared" si="26"/>
        <v>95805.030000000013</v>
      </c>
      <c r="M46" s="107">
        <f t="shared" si="26"/>
        <v>97485.82</v>
      </c>
      <c r="N46" s="107">
        <f t="shared" si="26"/>
        <v>99166.61</v>
      </c>
      <c r="O46" s="107">
        <f t="shared" si="26"/>
        <v>100847.40000000001</v>
      </c>
      <c r="P46" s="107">
        <f t="shared" si="26"/>
        <v>102528.19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84039.5</v>
      </c>
      <c r="F47" s="107">
        <f t="shared" ref="F47:P47" si="27">SUM(F45:F46)</f>
        <v>85720.290000000008</v>
      </c>
      <c r="G47" s="107">
        <f t="shared" si="27"/>
        <v>87401.08</v>
      </c>
      <c r="H47" s="107">
        <f t="shared" si="27"/>
        <v>89081.87</v>
      </c>
      <c r="I47" s="107">
        <f t="shared" si="27"/>
        <v>90762.66</v>
      </c>
      <c r="J47" s="107">
        <f t="shared" si="27"/>
        <v>92443.450000000012</v>
      </c>
      <c r="K47" s="107">
        <f t="shared" si="27"/>
        <v>94124.24000000002</v>
      </c>
      <c r="L47" s="107">
        <f t="shared" si="27"/>
        <v>95805.030000000013</v>
      </c>
      <c r="M47" s="107">
        <f t="shared" si="27"/>
        <v>97485.82</v>
      </c>
      <c r="N47" s="107">
        <f t="shared" si="27"/>
        <v>99166.61</v>
      </c>
      <c r="O47" s="107">
        <f t="shared" si="27"/>
        <v>100847.40000000001</v>
      </c>
      <c r="P47" s="107">
        <f t="shared" si="27"/>
        <v>102528.19</v>
      </c>
    </row>
    <row r="48" spans="1:16" s="2" customFormat="1" hidden="1" outlineLevel="2" x14ac:dyDescent="0.25">
      <c r="A48" s="195" t="s">
        <v>407</v>
      </c>
      <c r="B48" s="74" t="s">
        <v>377</v>
      </c>
      <c r="C48" s="62" t="s">
        <v>750</v>
      </c>
      <c r="D48" s="331">
        <v>1.144827</v>
      </c>
      <c r="E48" s="107">
        <f>IF(E$182=0,0,SUMIFS(E$209:E$217,$A$209:$A$217,$A48))*$D48</f>
        <v>45793.08</v>
      </c>
      <c r="F48" s="107">
        <f t="shared" ref="F48:P48" si="28">IF(F$182=0,0,SUMIFS(F$209:F$217,$A$209:$A$217,$A48))*$D48</f>
        <v>46708.941599999998</v>
      </c>
      <c r="G48" s="107">
        <f t="shared" si="28"/>
        <v>47624.803200000002</v>
      </c>
      <c r="H48" s="107">
        <f t="shared" si="28"/>
        <v>48540.664799999999</v>
      </c>
      <c r="I48" s="107">
        <f t="shared" si="28"/>
        <v>49456.526400000002</v>
      </c>
      <c r="J48" s="107">
        <f t="shared" si="28"/>
        <v>50372.387999999999</v>
      </c>
      <c r="K48" s="107">
        <f t="shared" si="28"/>
        <v>51288.24960000001</v>
      </c>
      <c r="L48" s="107">
        <f t="shared" si="28"/>
        <v>52204.111200000007</v>
      </c>
      <c r="M48" s="107">
        <f t="shared" si="28"/>
        <v>53119.972800000003</v>
      </c>
      <c r="N48" s="107">
        <f t="shared" si="28"/>
        <v>54035.8344</v>
      </c>
      <c r="O48" s="107">
        <f t="shared" si="28"/>
        <v>54951.696000000004</v>
      </c>
      <c r="P48" s="107">
        <f t="shared" si="28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62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29">SUMIFS(F$209:F$217,$A$209:$A$217,$A49)*(1-$D49)</f>
        <v>0</v>
      </c>
      <c r="G49" s="107">
        <f t="shared" si="29"/>
        <v>0</v>
      </c>
      <c r="H49" s="107">
        <f t="shared" si="29"/>
        <v>0</v>
      </c>
      <c r="I49" s="107">
        <f t="shared" si="29"/>
        <v>0</v>
      </c>
      <c r="J49" s="107">
        <f t="shared" si="29"/>
        <v>0</v>
      </c>
      <c r="K49" s="107">
        <f t="shared" si="29"/>
        <v>0</v>
      </c>
      <c r="L49" s="107">
        <f t="shared" si="29"/>
        <v>0</v>
      </c>
      <c r="M49" s="107">
        <f t="shared" si="29"/>
        <v>0</v>
      </c>
      <c r="N49" s="107">
        <f t="shared" si="29"/>
        <v>0</v>
      </c>
      <c r="O49" s="107">
        <f t="shared" si="29"/>
        <v>0</v>
      </c>
      <c r="P49" s="107">
        <f t="shared" si="29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45793.08</v>
      </c>
      <c r="F50" s="107">
        <f t="shared" ref="F50:P50" si="30">SUM(F48:F49)</f>
        <v>46708.941599999998</v>
      </c>
      <c r="G50" s="107">
        <f t="shared" si="30"/>
        <v>47624.803200000002</v>
      </c>
      <c r="H50" s="107">
        <f t="shared" si="30"/>
        <v>48540.664799999999</v>
      </c>
      <c r="I50" s="107">
        <f t="shared" si="30"/>
        <v>49456.526400000002</v>
      </c>
      <c r="J50" s="107">
        <f t="shared" si="30"/>
        <v>50372.387999999999</v>
      </c>
      <c r="K50" s="107">
        <f t="shared" si="30"/>
        <v>51288.24960000001</v>
      </c>
      <c r="L50" s="107">
        <f t="shared" si="30"/>
        <v>52204.111200000007</v>
      </c>
      <c r="M50" s="107">
        <f t="shared" si="30"/>
        <v>53119.972800000003</v>
      </c>
      <c r="N50" s="107">
        <f t="shared" si="30"/>
        <v>54035.8344</v>
      </c>
      <c r="O50" s="107">
        <f t="shared" si="30"/>
        <v>54951.696000000004</v>
      </c>
      <c r="P50" s="107">
        <f t="shared" si="30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53000</v>
      </c>
      <c r="F51" s="107">
        <f t="shared" ref="F51:P51" si="31">IF(F$182=0,0,SUMIFS(F$209:F$217,$A$209:$A$217,$A51))</f>
        <v>54060</v>
      </c>
      <c r="G51" s="107">
        <f t="shared" si="31"/>
        <v>55120</v>
      </c>
      <c r="H51" s="107">
        <f t="shared" si="31"/>
        <v>56180</v>
      </c>
      <c r="I51" s="107">
        <f t="shared" si="31"/>
        <v>57240</v>
      </c>
      <c r="J51" s="107">
        <f t="shared" si="31"/>
        <v>58300</v>
      </c>
      <c r="K51" s="107">
        <f t="shared" si="31"/>
        <v>59360</v>
      </c>
      <c r="L51" s="107">
        <f t="shared" si="31"/>
        <v>60420.000000000015</v>
      </c>
      <c r="M51" s="107">
        <f t="shared" si="31"/>
        <v>61480</v>
      </c>
      <c r="N51" s="107">
        <f t="shared" si="31"/>
        <v>62540</v>
      </c>
      <c r="O51" s="107">
        <f t="shared" si="31"/>
        <v>63600</v>
      </c>
      <c r="P51" s="107">
        <f t="shared" si="31"/>
        <v>64660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3000</v>
      </c>
      <c r="E52" s="107">
        <f>IF(E$182=0,0,(SUMIFS(E$188:E$196,$A$188:$A$196,$A42)+SUMIFS(E$188:E$196,$A$188:$A$196,$A43))*$D52)</f>
        <v>3000</v>
      </c>
      <c r="F52" s="107">
        <f t="shared" ref="F52:P52" si="32">IF(F$182=0,0,(SUMIFS(F$188:F$196,$A$188:$A$196,$A42)+SUMIFS(F$188:F$196,$A$188:$A$196,$A43))*$D52)</f>
        <v>3000</v>
      </c>
      <c r="G52" s="107">
        <f t="shared" si="32"/>
        <v>3000</v>
      </c>
      <c r="H52" s="107">
        <f t="shared" si="32"/>
        <v>3000</v>
      </c>
      <c r="I52" s="107">
        <f t="shared" si="32"/>
        <v>3000</v>
      </c>
      <c r="J52" s="107">
        <f t="shared" si="32"/>
        <v>3000</v>
      </c>
      <c r="K52" s="107">
        <f t="shared" si="32"/>
        <v>3000</v>
      </c>
      <c r="L52" s="107">
        <f t="shared" si="32"/>
        <v>3000</v>
      </c>
      <c r="M52" s="107">
        <f t="shared" si="32"/>
        <v>3000</v>
      </c>
      <c r="N52" s="107">
        <f t="shared" si="32"/>
        <v>3000</v>
      </c>
      <c r="O52" s="107">
        <f t="shared" si="32"/>
        <v>3000</v>
      </c>
      <c r="P52" s="107">
        <f t="shared" si="32"/>
        <v>3000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6000</v>
      </c>
      <c r="E53" s="107">
        <f>IF(E$182=0,0,(SUMIFS(E$188:E$196,$A$188:$A$196,$A45)+SUMIFS(E$188:E$196,$A$188:$A$196,$A46))*$D53)</f>
        <v>6000</v>
      </c>
      <c r="F53" s="107">
        <f t="shared" ref="F53:P53" si="33">IF(F$182=0,0,(SUMIFS(F$188:F$196,$A$188:$A$196,$A45)+SUMIFS(F$188:F$196,$A$188:$A$196,$A46))*$D53)</f>
        <v>6000</v>
      </c>
      <c r="G53" s="107">
        <f t="shared" si="33"/>
        <v>6000</v>
      </c>
      <c r="H53" s="107">
        <f t="shared" si="33"/>
        <v>6000</v>
      </c>
      <c r="I53" s="107">
        <f t="shared" si="33"/>
        <v>6000</v>
      </c>
      <c r="J53" s="107">
        <f t="shared" si="33"/>
        <v>6000</v>
      </c>
      <c r="K53" s="107">
        <f t="shared" si="33"/>
        <v>6000</v>
      </c>
      <c r="L53" s="107">
        <f t="shared" si="33"/>
        <v>6000</v>
      </c>
      <c r="M53" s="107">
        <f t="shared" si="33"/>
        <v>6000</v>
      </c>
      <c r="N53" s="107">
        <f t="shared" si="33"/>
        <v>6000</v>
      </c>
      <c r="O53" s="107">
        <f t="shared" si="33"/>
        <v>6000</v>
      </c>
      <c r="P53" s="107">
        <f t="shared" si="33"/>
        <v>6000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3000</v>
      </c>
      <c r="E54" s="32">
        <f>IF(E$182=0,0,(SUMIFS(E$188:E$196,$A$188:$A$196,$A48)+SUMIFS(E$188:E$196,$A$188:$A$196,$A49))*$D54)</f>
        <v>3000</v>
      </c>
      <c r="F54" s="32">
        <f t="shared" ref="F54:P54" si="34">IF(F$182=0,0,(SUMIFS(F$188:F$196,$A$188:$A$196,$A48)+SUMIFS(F$188:F$196,$A$188:$A$196,$A49))*$D54)</f>
        <v>3000</v>
      </c>
      <c r="G54" s="32">
        <f t="shared" si="34"/>
        <v>3000</v>
      </c>
      <c r="H54" s="32">
        <f t="shared" si="34"/>
        <v>3000</v>
      </c>
      <c r="I54" s="32">
        <f t="shared" si="34"/>
        <v>3000</v>
      </c>
      <c r="J54" s="32">
        <f t="shared" si="34"/>
        <v>3000</v>
      </c>
      <c r="K54" s="32">
        <f t="shared" si="34"/>
        <v>3000</v>
      </c>
      <c r="L54" s="32">
        <f t="shared" si="34"/>
        <v>3000</v>
      </c>
      <c r="M54" s="32">
        <f t="shared" si="34"/>
        <v>3000</v>
      </c>
      <c r="N54" s="32">
        <f t="shared" si="34"/>
        <v>3000</v>
      </c>
      <c r="O54" s="32">
        <f t="shared" si="34"/>
        <v>3000</v>
      </c>
      <c r="P54" s="32">
        <f t="shared" si="34"/>
        <v>3000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6">
        <f>E54+E53+E52+E51+E50+E47+E44</f>
        <v>263522.2</v>
      </c>
      <c r="F55" s="6">
        <f t="shared" ref="F55:P55" si="35">F54+F53+F52+F51+F50+F47+F44</f>
        <v>268552.64399999997</v>
      </c>
      <c r="G55" s="6">
        <f t="shared" si="35"/>
        <v>273583.08799999999</v>
      </c>
      <c r="H55" s="6">
        <f t="shared" si="35"/>
        <v>278613.53200000001</v>
      </c>
      <c r="I55" s="6">
        <f t="shared" si="35"/>
        <v>283643.97600000002</v>
      </c>
      <c r="J55" s="6">
        <f t="shared" si="35"/>
        <v>288674.42000000004</v>
      </c>
      <c r="K55" s="6">
        <f t="shared" si="35"/>
        <v>293704.86400000006</v>
      </c>
      <c r="L55" s="6">
        <f t="shared" si="35"/>
        <v>298735.30800000002</v>
      </c>
      <c r="M55" s="6">
        <f t="shared" si="35"/>
        <v>303765.75199999998</v>
      </c>
      <c r="N55" s="6">
        <f t="shared" si="35"/>
        <v>308796.196</v>
      </c>
      <c r="O55" s="6">
        <f t="shared" si="35"/>
        <v>313826.64</v>
      </c>
      <c r="P55" s="6">
        <f t="shared" si="35"/>
        <v>318857.08400000003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6">
        <f>IF(E$182=0,0,SUMIFS(E$42:E$54,$A$42:$A$54,6111)*$D56)</f>
        <v>377.79290999999995</v>
      </c>
      <c r="F56" s="6">
        <f t="shared" ref="F56:P56" si="36">IF(F$182=0,0,SUMIFS(F$42:F$54,$A$42:$A$54,6111)*$D56)</f>
        <v>385.34876819999999</v>
      </c>
      <c r="G56" s="6">
        <f t="shared" si="36"/>
        <v>392.90462640000004</v>
      </c>
      <c r="H56" s="6">
        <f t="shared" si="36"/>
        <v>400.46048459999997</v>
      </c>
      <c r="I56" s="6">
        <f t="shared" si="36"/>
        <v>408.01634280000002</v>
      </c>
      <c r="J56" s="6">
        <f t="shared" si="36"/>
        <v>415.57220100000001</v>
      </c>
      <c r="K56" s="6">
        <f t="shared" si="36"/>
        <v>423.1280592</v>
      </c>
      <c r="L56" s="6">
        <f t="shared" si="36"/>
        <v>430.6839174000001</v>
      </c>
      <c r="M56" s="6">
        <f t="shared" si="36"/>
        <v>438.23977559999997</v>
      </c>
      <c r="N56" s="6">
        <f t="shared" si="36"/>
        <v>445.79563380000002</v>
      </c>
      <c r="O56" s="6">
        <f t="shared" si="36"/>
        <v>453.35149200000001</v>
      </c>
      <c r="P56" s="6">
        <f t="shared" si="36"/>
        <v>460.9073502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6">
        <f>IF(E$182=0,0,SUMIFS(E$42:E$54,$A$42:$A$54,6114)*$D57)</f>
        <v>462.21724999999998</v>
      </c>
      <c r="F57" s="6">
        <f t="shared" ref="F57:P57" si="37">IF(F$182=0,0,SUMIFS(F$42:F$54,$A$42:$A$54,6114)*$D57)</f>
        <v>471.46159500000005</v>
      </c>
      <c r="G57" s="6">
        <f t="shared" si="37"/>
        <v>480.70594</v>
      </c>
      <c r="H57" s="6">
        <f t="shared" si="37"/>
        <v>489.95028499999995</v>
      </c>
      <c r="I57" s="6">
        <f t="shared" si="37"/>
        <v>499.19463000000002</v>
      </c>
      <c r="J57" s="6">
        <f t="shared" si="37"/>
        <v>508.43897500000003</v>
      </c>
      <c r="K57" s="6">
        <f t="shared" si="37"/>
        <v>517.68332000000009</v>
      </c>
      <c r="L57" s="6">
        <f t="shared" si="37"/>
        <v>526.92766500000005</v>
      </c>
      <c r="M57" s="6">
        <f t="shared" si="37"/>
        <v>536.17201</v>
      </c>
      <c r="N57" s="6">
        <f t="shared" si="37"/>
        <v>545.41635499999995</v>
      </c>
      <c r="O57" s="6">
        <f t="shared" si="37"/>
        <v>554.66070000000002</v>
      </c>
      <c r="P57" s="6">
        <f t="shared" si="37"/>
        <v>563.90504499999997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IF(E$182=0,0,(SUMIFS(E$42:E$54,$A$42:$A$54,6117)+SUMIFS(E$42:E$54,$A$42:$A$54,6117))*$D58)</f>
        <v>503.72388000000001</v>
      </c>
      <c r="F58" s="6">
        <f t="shared" ref="F58:P58" si="38">IF(F$182=0,0,(SUMIFS(F$42:F$54,$A$42:$A$54,6117)+SUMIFS(F$42:F$54,$A$42:$A$54,6117))*$D58)</f>
        <v>513.79835759999992</v>
      </c>
      <c r="G58" s="6">
        <f t="shared" si="38"/>
        <v>523.87283519999994</v>
      </c>
      <c r="H58" s="6">
        <f t="shared" si="38"/>
        <v>533.94731279999996</v>
      </c>
      <c r="I58" s="6">
        <f t="shared" si="38"/>
        <v>544.02179039999999</v>
      </c>
      <c r="J58" s="6">
        <f t="shared" si="38"/>
        <v>554.09626800000001</v>
      </c>
      <c r="K58" s="6">
        <f t="shared" si="38"/>
        <v>564.17074560000003</v>
      </c>
      <c r="L58" s="6">
        <f t="shared" si="38"/>
        <v>574.24522320000005</v>
      </c>
      <c r="M58" s="6">
        <f t="shared" si="38"/>
        <v>584.31970079999996</v>
      </c>
      <c r="N58" s="6">
        <f t="shared" si="38"/>
        <v>594.39417839999999</v>
      </c>
      <c r="O58" s="6">
        <f t="shared" si="38"/>
        <v>604.46865600000001</v>
      </c>
      <c r="P58" s="6">
        <f t="shared" si="38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3286</v>
      </c>
      <c r="F59" s="6">
        <f t="shared" ref="F59:P59" si="39">IF(F$182=0,0,SUMIFS(F$42:F$54,$A$42:$A$54,6127)*$D59)</f>
        <v>3351.72</v>
      </c>
      <c r="G59" s="6">
        <f t="shared" si="39"/>
        <v>3417.44</v>
      </c>
      <c r="H59" s="6">
        <f t="shared" si="39"/>
        <v>3483.16</v>
      </c>
      <c r="I59" s="6">
        <f t="shared" si="39"/>
        <v>3548.88</v>
      </c>
      <c r="J59" s="6">
        <f t="shared" si="39"/>
        <v>3614.6</v>
      </c>
      <c r="K59" s="6">
        <f t="shared" si="39"/>
        <v>3680.32</v>
      </c>
      <c r="L59" s="6">
        <f t="shared" si="39"/>
        <v>3746.0400000000009</v>
      </c>
      <c r="M59" s="6">
        <f t="shared" si="39"/>
        <v>3811.7599999999998</v>
      </c>
      <c r="N59" s="6">
        <f t="shared" si="39"/>
        <v>3877.48</v>
      </c>
      <c r="O59" s="6">
        <f t="shared" si="39"/>
        <v>3943.2</v>
      </c>
      <c r="P59" s="6">
        <f t="shared" si="39"/>
        <v>4008.92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IF(E$182=0,0,SUMIFS(E$42:E$54,$A$42:$A$54,$A42)*($D60*1+E6))</f>
        <v>9959.9948999999979</v>
      </c>
      <c r="F60" s="6">
        <f t="shared" si="40"/>
        <v>10684.670391</v>
      </c>
      <c r="G60" s="6">
        <f t="shared" si="40"/>
        <v>10894.173732000001</v>
      </c>
      <c r="H60" s="6">
        <f t="shared" si="40"/>
        <v>11103.677072999999</v>
      </c>
      <c r="I60" s="6">
        <f t="shared" si="40"/>
        <v>11313.180414</v>
      </c>
      <c r="J60" s="6">
        <f t="shared" si="40"/>
        <v>11522.683755000002</v>
      </c>
      <c r="K60" s="6">
        <f t="shared" si="40"/>
        <v>11732.187096</v>
      </c>
      <c r="L60" s="6">
        <f t="shared" si="40"/>
        <v>11941.690437000003</v>
      </c>
      <c r="M60" s="6">
        <f t="shared" si="40"/>
        <v>12151.193777999999</v>
      </c>
      <c r="N60" s="6">
        <f t="shared" si="40"/>
        <v>12360.697119</v>
      </c>
      <c r="O60" s="6">
        <f t="shared" si="40"/>
        <v>12570.200460000002</v>
      </c>
      <c r="P60" s="6">
        <f t="shared" si="40"/>
        <v>12779.703801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IF(E$182=0,0,SUMIFS(E$42:E$54,$A$42:$A$54,$A43)*($D61*1+E6))</f>
        <v>0</v>
      </c>
      <c r="F61" s="6">
        <f t="shared" si="41"/>
        <v>0</v>
      </c>
      <c r="G61" s="6">
        <f t="shared" si="41"/>
        <v>0</v>
      </c>
      <c r="H61" s="6">
        <f t="shared" si="41"/>
        <v>0</v>
      </c>
      <c r="I61" s="6">
        <f t="shared" si="41"/>
        <v>0</v>
      </c>
      <c r="J61" s="6">
        <f t="shared" si="41"/>
        <v>0</v>
      </c>
      <c r="K61" s="6">
        <f t="shared" si="41"/>
        <v>0</v>
      </c>
      <c r="L61" s="6">
        <f t="shared" si="41"/>
        <v>0</v>
      </c>
      <c r="M61" s="6">
        <f t="shared" si="41"/>
        <v>0</v>
      </c>
      <c r="N61" s="6">
        <f t="shared" si="41"/>
        <v>0</v>
      </c>
      <c r="O61" s="6">
        <f t="shared" si="41"/>
        <v>0</v>
      </c>
      <c r="P61" s="6">
        <f t="shared" si="41"/>
        <v>0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9959.9948999999979</v>
      </c>
      <c r="F62" s="6">
        <f t="shared" ref="F62:P62" si="42">SUM(F60:F61)</f>
        <v>10684.670391</v>
      </c>
      <c r="G62" s="6">
        <f t="shared" si="42"/>
        <v>10894.173732000001</v>
      </c>
      <c r="H62" s="6">
        <f t="shared" si="42"/>
        <v>11103.677072999999</v>
      </c>
      <c r="I62" s="6">
        <f t="shared" si="42"/>
        <v>11313.180414</v>
      </c>
      <c r="J62" s="6">
        <f t="shared" si="42"/>
        <v>11522.683755000002</v>
      </c>
      <c r="K62" s="6">
        <f t="shared" si="42"/>
        <v>11732.187096</v>
      </c>
      <c r="L62" s="6">
        <f t="shared" si="42"/>
        <v>11941.690437000003</v>
      </c>
      <c r="M62" s="6">
        <f t="shared" si="42"/>
        <v>12151.193777999999</v>
      </c>
      <c r="N62" s="6">
        <f t="shared" si="42"/>
        <v>12360.697119</v>
      </c>
      <c r="O62" s="6">
        <f t="shared" si="42"/>
        <v>12570.200460000002</v>
      </c>
      <c r="P62" s="6">
        <f t="shared" si="42"/>
        <v>12779.703801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3">IF(E$182=0,0,SUMIFS(E$42:E$54,$A$42:$A$54,$A45)*($D63*1+E6))</f>
        <v>0</v>
      </c>
      <c r="F63" s="6">
        <f t="shared" si="43"/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6"/>
      <c r="D64" s="95">
        <v>0.28000000000000003</v>
      </c>
      <c r="E64" s="6">
        <f t="shared" ref="E64:P64" si="44">IF(E$182=0,0,SUMIFS(E$42:E$54,$A$42:$A$54,$A46)*($D64*1+E6))</f>
        <v>23531.06</v>
      </c>
      <c r="F64" s="6">
        <f t="shared" si="44"/>
        <v>24644.583375000006</v>
      </c>
      <c r="G64" s="6">
        <f t="shared" si="44"/>
        <v>25127.810500000003</v>
      </c>
      <c r="H64" s="6">
        <f t="shared" si="44"/>
        <v>25611.037625000001</v>
      </c>
      <c r="I64" s="6">
        <f t="shared" si="44"/>
        <v>26094.264750000006</v>
      </c>
      <c r="J64" s="6">
        <f t="shared" si="44"/>
        <v>26577.491875000007</v>
      </c>
      <c r="K64" s="6">
        <f t="shared" si="44"/>
        <v>27060.719000000008</v>
      </c>
      <c r="L64" s="6">
        <f t="shared" si="44"/>
        <v>27543.946125000006</v>
      </c>
      <c r="M64" s="6">
        <f t="shared" si="44"/>
        <v>28027.173250000003</v>
      </c>
      <c r="N64" s="6">
        <f t="shared" si="44"/>
        <v>28510.400375000005</v>
      </c>
      <c r="O64" s="6">
        <f t="shared" si="44"/>
        <v>28993.627500000006</v>
      </c>
      <c r="P64" s="6">
        <f t="shared" si="44"/>
        <v>29476.854625000004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5">SUM(E63:E64)</f>
        <v>23531.06</v>
      </c>
      <c r="F65" s="6">
        <f t="shared" si="45"/>
        <v>24644.583375000006</v>
      </c>
      <c r="G65" s="6">
        <f t="shared" si="45"/>
        <v>25127.810500000003</v>
      </c>
      <c r="H65" s="6">
        <f t="shared" si="45"/>
        <v>25611.037625000001</v>
      </c>
      <c r="I65" s="6">
        <f t="shared" si="45"/>
        <v>26094.264750000006</v>
      </c>
      <c r="J65" s="6">
        <f t="shared" si="45"/>
        <v>26577.491875000007</v>
      </c>
      <c r="K65" s="6">
        <f t="shared" si="45"/>
        <v>27060.719000000008</v>
      </c>
      <c r="L65" s="6">
        <f t="shared" si="45"/>
        <v>27543.946125000006</v>
      </c>
      <c r="M65" s="6">
        <f t="shared" si="45"/>
        <v>28027.173250000003</v>
      </c>
      <c r="N65" s="6">
        <f t="shared" si="45"/>
        <v>28510.400375000005</v>
      </c>
      <c r="O65" s="6">
        <f t="shared" si="45"/>
        <v>28993.627500000006</v>
      </c>
      <c r="P65" s="6">
        <f t="shared" si="45"/>
        <v>29476.854625000004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6">IF(E$182=0,0,SUMIFS(E$42:E$54,$A$42:$A$54,$A48)*($D66*1+E6))</f>
        <v>6639.9965999999995</v>
      </c>
      <c r="F66" s="6">
        <f t="shared" si="46"/>
        <v>7123.1135939999995</v>
      </c>
      <c r="G66" s="6">
        <f t="shared" si="46"/>
        <v>7262.7824879999998</v>
      </c>
      <c r="H66" s="6">
        <f t="shared" si="46"/>
        <v>7402.4513819999993</v>
      </c>
      <c r="I66" s="6">
        <f t="shared" si="46"/>
        <v>7542.1202760000006</v>
      </c>
      <c r="J66" s="6">
        <f t="shared" si="46"/>
        <v>7681.78917</v>
      </c>
      <c r="K66" s="6">
        <f t="shared" si="46"/>
        <v>7821.4580640000013</v>
      </c>
      <c r="L66" s="6">
        <f t="shared" si="46"/>
        <v>7961.1269580000007</v>
      </c>
      <c r="M66" s="6">
        <f t="shared" si="46"/>
        <v>8100.7958520000002</v>
      </c>
      <c r="N66" s="6">
        <f t="shared" si="46"/>
        <v>8240.4647459999996</v>
      </c>
      <c r="O66" s="6">
        <f t="shared" si="46"/>
        <v>8380.13364</v>
      </c>
      <c r="P66" s="6">
        <f t="shared" si="46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7">IF(E$182=0,0,SUMIFS(E$42:E$54,$A$42:$A$54,$A49)*($D67*1+E6))</f>
        <v>0</v>
      </c>
      <c r="F67" s="6">
        <f t="shared" si="47"/>
        <v>0</v>
      </c>
      <c r="G67" s="6">
        <f t="shared" si="47"/>
        <v>0</v>
      </c>
      <c r="H67" s="6">
        <f t="shared" si="47"/>
        <v>0</v>
      </c>
      <c r="I67" s="6">
        <f t="shared" si="47"/>
        <v>0</v>
      </c>
      <c r="J67" s="6">
        <f t="shared" si="47"/>
        <v>0</v>
      </c>
      <c r="K67" s="6">
        <f t="shared" si="47"/>
        <v>0</v>
      </c>
      <c r="L67" s="6">
        <f t="shared" si="47"/>
        <v>0</v>
      </c>
      <c r="M67" s="6">
        <f t="shared" si="47"/>
        <v>0</v>
      </c>
      <c r="N67" s="6">
        <f t="shared" si="47"/>
        <v>0</v>
      </c>
      <c r="O67" s="6">
        <f t="shared" si="47"/>
        <v>0</v>
      </c>
      <c r="P67" s="6">
        <f t="shared" si="47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6639.9965999999995</v>
      </c>
      <c r="F68" s="6">
        <f t="shared" ref="F68:P68" si="48">SUM(F66:F67)</f>
        <v>7123.1135939999995</v>
      </c>
      <c r="G68" s="6">
        <f t="shared" si="48"/>
        <v>7262.7824879999998</v>
      </c>
      <c r="H68" s="6">
        <f t="shared" si="48"/>
        <v>7402.4513819999993</v>
      </c>
      <c r="I68" s="6">
        <f t="shared" si="48"/>
        <v>7542.1202760000006</v>
      </c>
      <c r="J68" s="6">
        <f t="shared" si="48"/>
        <v>7681.78917</v>
      </c>
      <c r="K68" s="6">
        <f t="shared" si="48"/>
        <v>7821.4580640000013</v>
      </c>
      <c r="L68" s="6">
        <f t="shared" si="48"/>
        <v>7961.1269580000007</v>
      </c>
      <c r="M68" s="6">
        <f t="shared" si="48"/>
        <v>8100.7958520000002</v>
      </c>
      <c r="N68" s="6">
        <f t="shared" si="48"/>
        <v>8240.4647459999996</v>
      </c>
      <c r="O68" s="6">
        <f t="shared" si="48"/>
        <v>8380.13364</v>
      </c>
      <c r="P68" s="6">
        <f t="shared" si="48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995.99949000000004</v>
      </c>
      <c r="F69" s="6">
        <f t="shared" ref="F69:P69" si="49">IF(F$182=0,0,SUMIFS(F$42:F$54,$A$42:$A$54,$A44)*$D69)</f>
        <v>1015.9194798000001</v>
      </c>
      <c r="G69" s="6">
        <f t="shared" si="49"/>
        <v>1035.8394696000003</v>
      </c>
      <c r="H69" s="6">
        <f t="shared" si="49"/>
        <v>1055.7594594</v>
      </c>
      <c r="I69" s="6">
        <f t="shared" si="49"/>
        <v>1075.6794492000001</v>
      </c>
      <c r="J69" s="6">
        <f t="shared" si="49"/>
        <v>1095.5994390000003</v>
      </c>
      <c r="K69" s="6">
        <f t="shared" si="49"/>
        <v>1115.5194288</v>
      </c>
      <c r="L69" s="6">
        <f t="shared" si="49"/>
        <v>1135.4394186000004</v>
      </c>
      <c r="M69" s="6">
        <f t="shared" si="49"/>
        <v>1155.3594084000001</v>
      </c>
      <c r="N69" s="6">
        <f t="shared" si="49"/>
        <v>1175.2793982000001</v>
      </c>
      <c r="O69" s="6">
        <f t="shared" si="49"/>
        <v>1195.1993880000002</v>
      </c>
      <c r="P69" s="6">
        <f t="shared" si="49"/>
        <v>1215.1193778000002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1218.57275</v>
      </c>
      <c r="F70" s="6">
        <f t="shared" ref="F70:P70" si="50">IF(F$182=0,0,SUMIFS(F$42:F$54,$A$42:$A$54,$A47)*$D70)</f>
        <v>1242.9442050000002</v>
      </c>
      <c r="G70" s="6">
        <f t="shared" si="50"/>
        <v>1267.31566</v>
      </c>
      <c r="H70" s="6">
        <f t="shared" si="50"/>
        <v>1291.6871149999999</v>
      </c>
      <c r="I70" s="6">
        <f t="shared" si="50"/>
        <v>1316.0585700000001</v>
      </c>
      <c r="J70" s="6">
        <f t="shared" si="50"/>
        <v>1340.4300250000003</v>
      </c>
      <c r="K70" s="6">
        <f t="shared" si="50"/>
        <v>1364.8014800000003</v>
      </c>
      <c r="L70" s="6">
        <f t="shared" si="50"/>
        <v>1389.1729350000003</v>
      </c>
      <c r="M70" s="6">
        <f t="shared" si="50"/>
        <v>1413.5443900000002</v>
      </c>
      <c r="N70" s="6">
        <f t="shared" si="50"/>
        <v>1437.915845</v>
      </c>
      <c r="O70" s="6">
        <f t="shared" si="50"/>
        <v>1462.2873000000002</v>
      </c>
      <c r="P70" s="6">
        <f t="shared" si="50"/>
        <v>1486.6587550000002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1432.4996600000002</v>
      </c>
      <c r="F71" s="6">
        <f t="shared" ref="F71:P71" si="51">IF(F$182=0,0,((SUMIFS(F$42:F$54,$A$42:$A$54,$A50))+(SUMIFS(F$42:F$54,$A$42:$A$54,$A51)))*$D71)</f>
        <v>1461.1496531999999</v>
      </c>
      <c r="G71" s="6">
        <f t="shared" si="51"/>
        <v>1489.7996464</v>
      </c>
      <c r="H71" s="6">
        <f t="shared" si="51"/>
        <v>1518.4496396</v>
      </c>
      <c r="I71" s="6">
        <f t="shared" si="51"/>
        <v>1547.0996328000001</v>
      </c>
      <c r="J71" s="6">
        <f t="shared" si="51"/>
        <v>1575.7496260000003</v>
      </c>
      <c r="K71" s="6">
        <f t="shared" si="51"/>
        <v>1604.3996192000002</v>
      </c>
      <c r="L71" s="6">
        <f t="shared" si="51"/>
        <v>1633.0496124000003</v>
      </c>
      <c r="M71" s="6">
        <f t="shared" si="51"/>
        <v>1661.6996056</v>
      </c>
      <c r="N71" s="6">
        <f t="shared" si="51"/>
        <v>1690.3495988</v>
      </c>
      <c r="O71" s="6">
        <f t="shared" si="51"/>
        <v>1718.9995920000001</v>
      </c>
      <c r="P71" s="6">
        <f t="shared" si="51"/>
        <v>1747.6495852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686.89620000000002</v>
      </c>
      <c r="F72" s="6">
        <f t="shared" ref="F72:P72" si="52">IF(F$182=0,0,SUMIFS(F$42:F$54,$A$42:$A$54,$A44)*$D72)</f>
        <v>700.63412400000004</v>
      </c>
      <c r="G72" s="6">
        <f t="shared" si="52"/>
        <v>714.37204800000006</v>
      </c>
      <c r="H72" s="6">
        <f t="shared" si="52"/>
        <v>728.10997199999997</v>
      </c>
      <c r="I72" s="6">
        <f t="shared" si="52"/>
        <v>741.84789600000011</v>
      </c>
      <c r="J72" s="6">
        <f t="shared" si="52"/>
        <v>755.58582000000013</v>
      </c>
      <c r="K72" s="6">
        <f t="shared" si="52"/>
        <v>769.32374400000003</v>
      </c>
      <c r="L72" s="6">
        <f t="shared" si="52"/>
        <v>783.06166800000028</v>
      </c>
      <c r="M72" s="6">
        <f t="shared" si="52"/>
        <v>796.79959199999996</v>
      </c>
      <c r="N72" s="6">
        <f t="shared" si="52"/>
        <v>810.5375160000001</v>
      </c>
      <c r="O72" s="6">
        <f t="shared" si="52"/>
        <v>824.27544000000012</v>
      </c>
      <c r="P72" s="6">
        <f t="shared" si="52"/>
        <v>838.01336400000002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840.39499999999998</v>
      </c>
      <c r="F73" s="6">
        <f t="shared" ref="F73:P73" si="53">IF(F$182=0,0,SUMIFS(F$42:F$54,$A$42:$A$54,$A47)*$D73)</f>
        <v>857.20290000000011</v>
      </c>
      <c r="G73" s="6">
        <f t="shared" si="53"/>
        <v>874.01080000000002</v>
      </c>
      <c r="H73" s="6">
        <f t="shared" si="53"/>
        <v>890.81869999999992</v>
      </c>
      <c r="I73" s="6">
        <f t="shared" si="53"/>
        <v>907.62660000000005</v>
      </c>
      <c r="J73" s="6">
        <f t="shared" si="53"/>
        <v>924.43450000000018</v>
      </c>
      <c r="K73" s="6">
        <f t="shared" si="53"/>
        <v>941.2424000000002</v>
      </c>
      <c r="L73" s="6">
        <f t="shared" si="53"/>
        <v>958.05030000000011</v>
      </c>
      <c r="M73" s="6">
        <f t="shared" si="53"/>
        <v>974.85820000000012</v>
      </c>
      <c r="N73" s="6">
        <f t="shared" si="53"/>
        <v>991.66610000000003</v>
      </c>
      <c r="O73" s="6">
        <f t="shared" si="53"/>
        <v>1008.4740000000002</v>
      </c>
      <c r="P73" s="6">
        <f t="shared" si="53"/>
        <v>1025.2819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987.93080000000009</v>
      </c>
      <c r="F74" s="6">
        <f t="shared" ref="F74:P74" si="54">IF(F$182=0,0,((SUMIFS(F$42:F$54,$A$42:$A$54,$A50))+(SUMIFS(F$42:F$54,$A$42:$A$54,B51)))*$D74)</f>
        <v>467.08941599999997</v>
      </c>
      <c r="G74" s="6">
        <f t="shared" si="54"/>
        <v>476.24803200000002</v>
      </c>
      <c r="H74" s="6">
        <f t="shared" si="54"/>
        <v>485.40664800000002</v>
      </c>
      <c r="I74" s="6">
        <f t="shared" si="54"/>
        <v>494.56526400000001</v>
      </c>
      <c r="J74" s="6">
        <f t="shared" si="54"/>
        <v>503.72388000000001</v>
      </c>
      <c r="K74" s="6">
        <f t="shared" si="54"/>
        <v>512.88249600000006</v>
      </c>
      <c r="L74" s="6">
        <f t="shared" si="54"/>
        <v>522.04111200000011</v>
      </c>
      <c r="M74" s="6">
        <f t="shared" si="54"/>
        <v>531.19972800000005</v>
      </c>
      <c r="N74" s="6">
        <f t="shared" si="54"/>
        <v>540.35834399999999</v>
      </c>
      <c r="O74" s="6">
        <f t="shared" si="54"/>
        <v>549.51696000000004</v>
      </c>
      <c r="P74" s="6">
        <f t="shared" si="54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295"/>
      <c r="D75" s="95">
        <v>7.0000000000000001E-3</v>
      </c>
      <c r="E75" s="6">
        <f>IF(E$182=0,0,SUMIFS(E$42:E$54,$A$42:$A$54,$A44)*$D75)</f>
        <v>480.82733999999999</v>
      </c>
      <c r="F75" s="6">
        <f t="shared" ref="F75:P75" si="55">IF(F$182=0,0,SUMIFS(F$42:F$54,$A$42:$A$54,$A44)*$D75)</f>
        <v>490.44388680000003</v>
      </c>
      <c r="G75" s="6">
        <f t="shared" si="55"/>
        <v>500.06043360000007</v>
      </c>
      <c r="H75" s="6">
        <f t="shared" si="55"/>
        <v>509.67698039999999</v>
      </c>
      <c r="I75" s="6">
        <f t="shared" si="55"/>
        <v>519.29352720000009</v>
      </c>
      <c r="J75" s="6">
        <f t="shared" si="55"/>
        <v>528.91007400000012</v>
      </c>
      <c r="K75" s="6">
        <f t="shared" si="55"/>
        <v>538.52662080000005</v>
      </c>
      <c r="L75" s="6">
        <f t="shared" si="55"/>
        <v>548.1431676000002</v>
      </c>
      <c r="M75" s="6">
        <f t="shared" si="55"/>
        <v>557.75971440000001</v>
      </c>
      <c r="N75" s="6">
        <f t="shared" si="55"/>
        <v>567.37626120000004</v>
      </c>
      <c r="O75" s="6">
        <f t="shared" si="55"/>
        <v>576.99280800000008</v>
      </c>
      <c r="P75" s="6">
        <f t="shared" si="55"/>
        <v>586.60935480000001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588.27650000000006</v>
      </c>
      <c r="F76" s="6">
        <f t="shared" ref="F76:P76" si="56">IF(F$182=0,0,SUMIFS(F$42:F$54,$A$42:$A$54,$A47)*$D76)</f>
        <v>600.04203000000007</v>
      </c>
      <c r="G76" s="6">
        <f t="shared" si="56"/>
        <v>611.80756000000008</v>
      </c>
      <c r="H76" s="6">
        <f t="shared" si="56"/>
        <v>623.57308999999998</v>
      </c>
      <c r="I76" s="6">
        <f t="shared" si="56"/>
        <v>635.33861999999999</v>
      </c>
      <c r="J76" s="6">
        <f t="shared" si="56"/>
        <v>647.10415000000012</v>
      </c>
      <c r="K76" s="6">
        <f t="shared" si="56"/>
        <v>658.86968000000013</v>
      </c>
      <c r="L76" s="6">
        <f t="shared" si="56"/>
        <v>670.63521000000014</v>
      </c>
      <c r="M76" s="6">
        <f t="shared" si="56"/>
        <v>682.40074000000004</v>
      </c>
      <c r="N76" s="6">
        <f t="shared" si="56"/>
        <v>694.16627000000005</v>
      </c>
      <c r="O76" s="6">
        <f t="shared" si="56"/>
        <v>705.93180000000007</v>
      </c>
      <c r="P76" s="6">
        <f t="shared" si="56"/>
        <v>717.69733000000008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691.55155999999999</v>
      </c>
      <c r="F77" s="6">
        <f t="shared" ref="F77:P77" si="57">IF(F$182=0,0,((SUMIFS(F$42:F$54,$A$42:$A$54,$A50))+(SUMIFS(F$42:F$54,$A$42:$A$54,$A51)))*$D77)</f>
        <v>705.38259119999998</v>
      </c>
      <c r="G77" s="6">
        <f t="shared" si="57"/>
        <v>719.21362239999996</v>
      </c>
      <c r="H77" s="6">
        <f t="shared" si="57"/>
        <v>733.04465360000006</v>
      </c>
      <c r="I77" s="6">
        <f t="shared" si="57"/>
        <v>746.87568480000004</v>
      </c>
      <c r="J77" s="6">
        <f t="shared" si="57"/>
        <v>760.70671600000003</v>
      </c>
      <c r="K77" s="6">
        <f t="shared" si="57"/>
        <v>774.53774720000013</v>
      </c>
      <c r="L77" s="6">
        <f t="shared" si="57"/>
        <v>788.36877840000011</v>
      </c>
      <c r="M77" s="6">
        <f t="shared" si="57"/>
        <v>802.19980960000009</v>
      </c>
      <c r="N77" s="6">
        <f t="shared" si="57"/>
        <v>816.03084079999996</v>
      </c>
      <c r="O77" s="6">
        <f t="shared" si="57"/>
        <v>829.86187199999995</v>
      </c>
      <c r="P77" s="6">
        <f t="shared" si="57"/>
        <v>843.69290320000005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IF(E$182=0,0,(E200*$D78*12)*(1+E9))</f>
        <v>4200</v>
      </c>
      <c r="F78" s="6">
        <f t="shared" ref="F78:P78" si="58">IF(F$182=0,0,(F200*$D78*12)*(1+F9))</f>
        <v>4368</v>
      </c>
      <c r="G78" s="6">
        <f t="shared" si="58"/>
        <v>4536</v>
      </c>
      <c r="H78" s="6">
        <f t="shared" si="58"/>
        <v>4704</v>
      </c>
      <c r="I78" s="6">
        <f t="shared" si="58"/>
        <v>4872</v>
      </c>
      <c r="J78" s="6">
        <f t="shared" si="58"/>
        <v>5040</v>
      </c>
      <c r="K78" s="6">
        <f t="shared" si="58"/>
        <v>5208</v>
      </c>
      <c r="L78" s="6">
        <f t="shared" si="58"/>
        <v>5376</v>
      </c>
      <c r="M78" s="6">
        <f t="shared" si="58"/>
        <v>5544</v>
      </c>
      <c r="N78" s="6">
        <f t="shared" si="58"/>
        <v>5711.9999999999991</v>
      </c>
      <c r="O78" s="6">
        <f t="shared" si="58"/>
        <v>5880</v>
      </c>
      <c r="P78" s="6">
        <f t="shared" si="58"/>
        <v>6048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6">
        <f>IF(E$182=0,0,(E203*$D79*12)*(1+E9))</f>
        <v>4200</v>
      </c>
      <c r="F79" s="6">
        <f t="shared" ref="F79:P79" si="59">IF(F$182=0,0,(F203*$D79*12)*(1+F9))</f>
        <v>4368</v>
      </c>
      <c r="G79" s="6">
        <f t="shared" si="59"/>
        <v>4536</v>
      </c>
      <c r="H79" s="6">
        <f t="shared" si="59"/>
        <v>4704</v>
      </c>
      <c r="I79" s="6">
        <f t="shared" si="59"/>
        <v>4872</v>
      </c>
      <c r="J79" s="6">
        <f t="shared" si="59"/>
        <v>5040</v>
      </c>
      <c r="K79" s="6">
        <f t="shared" si="59"/>
        <v>5208</v>
      </c>
      <c r="L79" s="6">
        <f t="shared" si="59"/>
        <v>5376</v>
      </c>
      <c r="M79" s="6">
        <f t="shared" si="59"/>
        <v>5544</v>
      </c>
      <c r="N79" s="6">
        <f t="shared" si="59"/>
        <v>5711.9999999999991</v>
      </c>
      <c r="O79" s="6">
        <f t="shared" si="59"/>
        <v>5880</v>
      </c>
      <c r="P79" s="6">
        <f t="shared" si="59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32">
        <f>IF(E$182=0,0,(E204*$D80*12)*(1+E9))</f>
        <v>4200</v>
      </c>
      <c r="F80" s="32">
        <f t="shared" ref="F80:P80" si="60">IF(F$182=0,0,(F204*$D80*12)*(1+F9))</f>
        <v>4368</v>
      </c>
      <c r="G80" s="32">
        <f t="shared" si="60"/>
        <v>4536</v>
      </c>
      <c r="H80" s="32">
        <f t="shared" si="60"/>
        <v>4704</v>
      </c>
      <c r="I80" s="32">
        <f t="shared" si="60"/>
        <v>4872</v>
      </c>
      <c r="J80" s="32">
        <f t="shared" si="60"/>
        <v>5040</v>
      </c>
      <c r="K80" s="32">
        <f t="shared" si="60"/>
        <v>5208</v>
      </c>
      <c r="L80" s="32">
        <f t="shared" si="60"/>
        <v>5376</v>
      </c>
      <c r="M80" s="32">
        <f t="shared" si="60"/>
        <v>5544</v>
      </c>
      <c r="N80" s="32">
        <f t="shared" si="60"/>
        <v>5711.9999999999991</v>
      </c>
      <c r="O80" s="32">
        <f t="shared" si="60"/>
        <v>5880</v>
      </c>
      <c r="P80" s="32">
        <f t="shared" si="60"/>
        <v>6048</v>
      </c>
    </row>
    <row r="81" spans="1:16" s="2" customFormat="1" collapsed="1" x14ac:dyDescent="0.25">
      <c r="A81" s="62">
        <v>200</v>
      </c>
      <c r="B81" s="18" t="s">
        <v>106</v>
      </c>
      <c r="C81" s="18"/>
      <c r="E81" s="6">
        <f>SUM(E56:E80)-E68-E65-E62</f>
        <v>65283.734840000041</v>
      </c>
      <c r="F81" s="6">
        <f t="shared" ref="F81:P81" si="61">SUM(F56:F80)-F68-F65-F62</f>
        <v>67819.504366800014</v>
      </c>
      <c r="G81" s="6">
        <f t="shared" si="61"/>
        <v>69396.357393600018</v>
      </c>
      <c r="H81" s="6">
        <f t="shared" si="61"/>
        <v>70973.210420400006</v>
      </c>
      <c r="I81" s="6">
        <f t="shared" si="61"/>
        <v>72550.063447200024</v>
      </c>
      <c r="J81" s="6">
        <f t="shared" si="61"/>
        <v>74126.916474000012</v>
      </c>
      <c r="K81" s="6">
        <f t="shared" si="61"/>
        <v>75703.76950080003</v>
      </c>
      <c r="L81" s="6">
        <f t="shared" si="61"/>
        <v>77280.622527600033</v>
      </c>
      <c r="M81" s="6">
        <f t="shared" si="61"/>
        <v>78857.475554400007</v>
      </c>
      <c r="N81" s="6">
        <f t="shared" si="61"/>
        <v>80434.328581199996</v>
      </c>
      <c r="O81" s="6">
        <f t="shared" si="61"/>
        <v>82011.181607999984</v>
      </c>
      <c r="P81" s="6">
        <f t="shared" si="61"/>
        <v>83588.034634800002</v>
      </c>
    </row>
    <row r="82" spans="1:16" s="2" customFormat="1" x14ac:dyDescent="0.25">
      <c r="A82" s="2">
        <v>300</v>
      </c>
      <c r="B82" s="18" t="s">
        <v>484</v>
      </c>
      <c r="C82" s="297" t="s">
        <v>703</v>
      </c>
      <c r="D82" s="164">
        <v>0</v>
      </c>
      <c r="E82" s="154">
        <f>IF(E$182=0,0,$D82*350)</f>
        <v>0</v>
      </c>
      <c r="F82" s="154">
        <f t="shared" ref="F82:P82" si="62">IF(F$182=0,0,$D82*350)</f>
        <v>0</v>
      </c>
      <c r="G82" s="154">
        <f t="shared" si="62"/>
        <v>0</v>
      </c>
      <c r="H82" s="154">
        <f t="shared" si="62"/>
        <v>0</v>
      </c>
      <c r="I82" s="154">
        <f t="shared" si="62"/>
        <v>0</v>
      </c>
      <c r="J82" s="154">
        <f t="shared" si="62"/>
        <v>0</v>
      </c>
      <c r="K82" s="154">
        <f t="shared" si="62"/>
        <v>0</v>
      </c>
      <c r="L82" s="154">
        <f t="shared" si="62"/>
        <v>0</v>
      </c>
      <c r="M82" s="154">
        <f t="shared" si="62"/>
        <v>0</v>
      </c>
      <c r="N82" s="154">
        <f t="shared" si="62"/>
        <v>0</v>
      </c>
      <c r="O82" s="154">
        <f t="shared" si="62"/>
        <v>0</v>
      </c>
      <c r="P82" s="154">
        <f t="shared" si="62"/>
        <v>0</v>
      </c>
    </row>
    <row r="83" spans="1:16" s="2" customFormat="1" x14ac:dyDescent="0.25">
      <c r="A83" s="2">
        <v>300</v>
      </c>
      <c r="B83" s="18" t="s">
        <v>755</v>
      </c>
      <c r="C83" s="2" t="s">
        <v>486</v>
      </c>
      <c r="D83" s="95">
        <v>0</v>
      </c>
      <c r="E83" s="10">
        <f>IF(E$182=0,0,($D83*E23)/$D$23)</f>
        <v>0</v>
      </c>
      <c r="F83" s="10">
        <f t="shared" ref="F83:P83" si="63">IF(F$182=0,0,($D83*F23)/$D$23)</f>
        <v>0</v>
      </c>
      <c r="G83" s="10">
        <f t="shared" si="63"/>
        <v>0</v>
      </c>
      <c r="H83" s="10">
        <f t="shared" si="63"/>
        <v>0</v>
      </c>
      <c r="I83" s="10">
        <f t="shared" si="63"/>
        <v>0</v>
      </c>
      <c r="J83" s="10">
        <f t="shared" si="63"/>
        <v>0</v>
      </c>
      <c r="K83" s="10">
        <f t="shared" si="63"/>
        <v>0</v>
      </c>
      <c r="L83" s="10">
        <f t="shared" si="63"/>
        <v>0</v>
      </c>
      <c r="M83" s="10">
        <f t="shared" si="63"/>
        <v>0</v>
      </c>
      <c r="N83" s="10">
        <f t="shared" si="63"/>
        <v>0</v>
      </c>
      <c r="O83" s="10">
        <f t="shared" si="63"/>
        <v>0</v>
      </c>
      <c r="P83" s="10">
        <f t="shared" si="63"/>
        <v>0</v>
      </c>
    </row>
    <row r="84" spans="1:16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0">
        <f>IF(E$182=0,0,($D84*E23)/$D$23)</f>
        <v>30451.5</v>
      </c>
      <c r="F84" s="10">
        <f t="shared" ref="F84:P84" si="64">IF(F$182=0,0,($D84*F23)/$D$23)</f>
        <v>31293.483975000003</v>
      </c>
      <c r="G84" s="10">
        <f t="shared" si="64"/>
        <v>32146.384812750006</v>
      </c>
      <c r="H84" s="10">
        <f t="shared" si="64"/>
        <v>33010.318904592663</v>
      </c>
      <c r="I84" s="10">
        <f t="shared" si="64"/>
        <v>33885.40377366724</v>
      </c>
      <c r="J84" s="10">
        <f t="shared" si="64"/>
        <v>34771.758085339556</v>
      </c>
      <c r="K84" s="10">
        <f t="shared" si="64"/>
        <v>35775.66088884887</v>
      </c>
      <c r="L84" s="10">
        <f t="shared" si="64"/>
        <v>36792.666323018522</v>
      </c>
      <c r="M84" s="10">
        <f t="shared" si="64"/>
        <v>37822.914457775725</v>
      </c>
      <c r="N84" s="10">
        <f t="shared" si="64"/>
        <v>38866.546727073612</v>
      </c>
      <c r="O84" s="10">
        <f t="shared" si="64"/>
        <v>39923.705941472712</v>
      </c>
      <c r="P84" s="10">
        <f t="shared" si="64"/>
        <v>40994.536300834407</v>
      </c>
    </row>
    <row r="85" spans="1:16" s="2" customFormat="1" hidden="1" outlineLevel="1" x14ac:dyDescent="0.25">
      <c r="A85" s="62">
        <v>6300</v>
      </c>
      <c r="B85" s="18" t="s">
        <v>595</v>
      </c>
      <c r="C85" s="297" t="s">
        <v>584</v>
      </c>
      <c r="D85" s="164">
        <v>0</v>
      </c>
      <c r="E85" s="107">
        <f>IF(E$182=0,0,$D85*250)</f>
        <v>0</v>
      </c>
      <c r="F85" s="107">
        <f t="shared" ref="F85:P85" si="65">IF(F$182=0,0,$D85*250)</f>
        <v>0</v>
      </c>
      <c r="G85" s="107">
        <f t="shared" si="65"/>
        <v>0</v>
      </c>
      <c r="H85" s="107">
        <f t="shared" si="65"/>
        <v>0</v>
      </c>
      <c r="I85" s="107">
        <f t="shared" si="65"/>
        <v>0</v>
      </c>
      <c r="J85" s="107">
        <f t="shared" si="65"/>
        <v>0</v>
      </c>
      <c r="K85" s="107">
        <f t="shared" si="65"/>
        <v>0</v>
      </c>
      <c r="L85" s="107">
        <f t="shared" si="65"/>
        <v>0</v>
      </c>
      <c r="M85" s="107">
        <f t="shared" si="65"/>
        <v>0</v>
      </c>
      <c r="N85" s="107">
        <f t="shared" si="65"/>
        <v>0</v>
      </c>
      <c r="O85" s="107">
        <f t="shared" si="65"/>
        <v>0</v>
      </c>
      <c r="P85" s="107">
        <f t="shared" si="65"/>
        <v>0</v>
      </c>
    </row>
    <row r="86" spans="1:16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2</v>
      </c>
      <c r="E86" s="107">
        <f t="shared" ref="E86:P86" si="66">IF(E$182=0,0,ROUND(($D86*(1+E$5))*E$182,0))</f>
        <v>600</v>
      </c>
      <c r="F86" s="107">
        <f t="shared" si="66"/>
        <v>624</v>
      </c>
      <c r="G86" s="107">
        <f t="shared" si="66"/>
        <v>649</v>
      </c>
      <c r="H86" s="107">
        <f t="shared" si="66"/>
        <v>674</v>
      </c>
      <c r="I86" s="107">
        <f t="shared" si="66"/>
        <v>700</v>
      </c>
      <c r="J86" s="107">
        <f t="shared" si="66"/>
        <v>726</v>
      </c>
      <c r="K86" s="107">
        <f t="shared" si="66"/>
        <v>755</v>
      </c>
      <c r="L86" s="107">
        <f t="shared" si="66"/>
        <v>784</v>
      </c>
      <c r="M86" s="107">
        <f t="shared" si="66"/>
        <v>814</v>
      </c>
      <c r="N86" s="107">
        <f t="shared" si="66"/>
        <v>845</v>
      </c>
      <c r="O86" s="107">
        <f t="shared" si="66"/>
        <v>876</v>
      </c>
      <c r="P86" s="107">
        <f t="shared" si="66"/>
        <v>908</v>
      </c>
    </row>
    <row r="87" spans="1:16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200</v>
      </c>
      <c r="E87" s="107">
        <f>IF(E$182=0,0,$D87*10)</f>
        <v>2000</v>
      </c>
      <c r="F87" s="107">
        <f t="shared" ref="F87:P87" si="67">IF(F$182=0,0,$D87*10)</f>
        <v>2000</v>
      </c>
      <c r="G87" s="107">
        <f t="shared" si="67"/>
        <v>2000</v>
      </c>
      <c r="H87" s="107">
        <f t="shared" si="67"/>
        <v>2000</v>
      </c>
      <c r="I87" s="107">
        <f t="shared" si="67"/>
        <v>2000</v>
      </c>
      <c r="J87" s="107">
        <f t="shared" si="67"/>
        <v>2000</v>
      </c>
      <c r="K87" s="107">
        <f t="shared" si="67"/>
        <v>2000</v>
      </c>
      <c r="L87" s="107">
        <f t="shared" si="67"/>
        <v>2000</v>
      </c>
      <c r="M87" s="107">
        <f t="shared" si="67"/>
        <v>2000</v>
      </c>
      <c r="N87" s="107">
        <f t="shared" si="67"/>
        <v>2000</v>
      </c>
      <c r="O87" s="107">
        <f t="shared" si="67"/>
        <v>2000</v>
      </c>
      <c r="P87" s="107">
        <f t="shared" si="67"/>
        <v>2000</v>
      </c>
    </row>
    <row r="88" spans="1:16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5</v>
      </c>
      <c r="E88" s="107">
        <f>IF(E$182=0,0,$D88*25)</f>
        <v>125</v>
      </c>
      <c r="F88" s="107">
        <f t="shared" ref="F88:P88" si="68">IF(F$182=0,0,$D88*25)</f>
        <v>125</v>
      </c>
      <c r="G88" s="107">
        <f t="shared" si="68"/>
        <v>125</v>
      </c>
      <c r="H88" s="107">
        <f t="shared" si="68"/>
        <v>125</v>
      </c>
      <c r="I88" s="107">
        <f t="shared" si="68"/>
        <v>125</v>
      </c>
      <c r="J88" s="107">
        <f t="shared" si="68"/>
        <v>125</v>
      </c>
      <c r="K88" s="107">
        <f t="shared" si="68"/>
        <v>125</v>
      </c>
      <c r="L88" s="107">
        <f t="shared" si="68"/>
        <v>125</v>
      </c>
      <c r="M88" s="107">
        <f t="shared" si="68"/>
        <v>125</v>
      </c>
      <c r="N88" s="107">
        <f t="shared" si="68"/>
        <v>125</v>
      </c>
      <c r="O88" s="107">
        <f t="shared" si="68"/>
        <v>125</v>
      </c>
      <c r="P88" s="107">
        <f t="shared" si="68"/>
        <v>125</v>
      </c>
    </row>
    <row r="89" spans="1:16" s="2" customFormat="1" hidden="1" outlineLevel="1" x14ac:dyDescent="0.25">
      <c r="A89" s="62">
        <v>6300</v>
      </c>
      <c r="B89" s="18" t="s">
        <v>598</v>
      </c>
      <c r="C89" s="2" t="s">
        <v>599</v>
      </c>
      <c r="D89" s="164">
        <v>5</v>
      </c>
      <c r="E89" s="107">
        <f>IF(E$182=0,0,$D89*40)</f>
        <v>200</v>
      </c>
      <c r="F89" s="107">
        <f t="shared" ref="F89:P89" si="69">IF(F$182=0,0,$D89*40)</f>
        <v>200</v>
      </c>
      <c r="G89" s="107">
        <f t="shared" si="69"/>
        <v>200</v>
      </c>
      <c r="H89" s="107">
        <f t="shared" si="69"/>
        <v>200</v>
      </c>
      <c r="I89" s="107">
        <f t="shared" si="69"/>
        <v>200</v>
      </c>
      <c r="J89" s="107">
        <f t="shared" si="69"/>
        <v>200</v>
      </c>
      <c r="K89" s="107">
        <f t="shared" si="69"/>
        <v>200</v>
      </c>
      <c r="L89" s="107">
        <f t="shared" si="69"/>
        <v>200</v>
      </c>
      <c r="M89" s="107">
        <f t="shared" si="69"/>
        <v>200</v>
      </c>
      <c r="N89" s="107">
        <f t="shared" si="69"/>
        <v>200</v>
      </c>
      <c r="O89" s="107">
        <f t="shared" si="69"/>
        <v>200</v>
      </c>
      <c r="P89" s="107">
        <f t="shared" si="69"/>
        <v>200</v>
      </c>
    </row>
    <row r="90" spans="1:16" s="2" customFormat="1" hidden="1" outlineLevel="1" x14ac:dyDescent="0.25">
      <c r="A90" s="62">
        <v>6300</v>
      </c>
      <c r="B90" s="18" t="s">
        <v>600</v>
      </c>
      <c r="C90" s="2" t="s">
        <v>660</v>
      </c>
      <c r="D90" s="164">
        <v>9</v>
      </c>
      <c r="E90" s="107">
        <f>IF(E$182=0,0,$D90*250)</f>
        <v>2250</v>
      </c>
      <c r="F90" s="107">
        <f t="shared" ref="F90:P90" si="70">IF(F$182=0,0,$D90*250)</f>
        <v>2250</v>
      </c>
      <c r="G90" s="107">
        <f t="shared" si="70"/>
        <v>2250</v>
      </c>
      <c r="H90" s="107">
        <f t="shared" si="70"/>
        <v>2250</v>
      </c>
      <c r="I90" s="107">
        <f t="shared" si="70"/>
        <v>2250</v>
      </c>
      <c r="J90" s="107">
        <f t="shared" si="70"/>
        <v>2250</v>
      </c>
      <c r="K90" s="107">
        <f t="shared" si="70"/>
        <v>2250</v>
      </c>
      <c r="L90" s="107">
        <f t="shared" si="70"/>
        <v>2250</v>
      </c>
      <c r="M90" s="107">
        <f t="shared" si="70"/>
        <v>2250</v>
      </c>
      <c r="N90" s="107">
        <f t="shared" si="70"/>
        <v>2250</v>
      </c>
      <c r="O90" s="107">
        <f t="shared" si="70"/>
        <v>2250</v>
      </c>
      <c r="P90" s="107">
        <f t="shared" si="70"/>
        <v>2250</v>
      </c>
    </row>
    <row r="91" spans="1:16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32">
        <f>IF(E$182=0,0,$D91*50)</f>
        <v>0</v>
      </c>
      <c r="F91" s="32">
        <f t="shared" ref="F91:P91" si="71">IF(F$182=0,0,$D91*50)</f>
        <v>0</v>
      </c>
      <c r="G91" s="32">
        <f t="shared" si="71"/>
        <v>0</v>
      </c>
      <c r="H91" s="32">
        <f t="shared" si="71"/>
        <v>0</v>
      </c>
      <c r="I91" s="32">
        <f t="shared" si="71"/>
        <v>0</v>
      </c>
      <c r="J91" s="32">
        <f t="shared" si="71"/>
        <v>0</v>
      </c>
      <c r="K91" s="32">
        <f t="shared" si="71"/>
        <v>0</v>
      </c>
      <c r="L91" s="32">
        <f t="shared" si="71"/>
        <v>0</v>
      </c>
      <c r="M91" s="32">
        <f t="shared" si="71"/>
        <v>0</v>
      </c>
      <c r="N91" s="32">
        <f t="shared" si="71"/>
        <v>0</v>
      </c>
      <c r="O91" s="32">
        <f t="shared" si="71"/>
        <v>0</v>
      </c>
      <c r="P91" s="32">
        <f t="shared" si="71"/>
        <v>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10">
        <f>SUM(E85:E91)</f>
        <v>5175</v>
      </c>
      <c r="F92" s="10">
        <f t="shared" ref="F92:P92" si="72">SUM(F85:F91)</f>
        <v>5199</v>
      </c>
      <c r="G92" s="10">
        <f t="shared" si="72"/>
        <v>5224</v>
      </c>
      <c r="H92" s="10">
        <f t="shared" si="72"/>
        <v>5249</v>
      </c>
      <c r="I92" s="10">
        <f t="shared" si="72"/>
        <v>5275</v>
      </c>
      <c r="J92" s="10">
        <f t="shared" si="72"/>
        <v>5301</v>
      </c>
      <c r="K92" s="10">
        <f t="shared" si="72"/>
        <v>5330</v>
      </c>
      <c r="L92" s="10">
        <f t="shared" si="72"/>
        <v>5359</v>
      </c>
      <c r="M92" s="10">
        <f t="shared" si="72"/>
        <v>5389</v>
      </c>
      <c r="N92" s="10">
        <f t="shared" si="72"/>
        <v>5420</v>
      </c>
      <c r="O92" s="10">
        <f t="shared" si="72"/>
        <v>5451</v>
      </c>
      <c r="P92" s="10">
        <f t="shared" si="72"/>
        <v>5483</v>
      </c>
    </row>
    <row r="93" spans="1:16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10">
        <f t="shared" ref="E93:P94" si="73">IF(E$182=0,0,($D93*(1+E$5)))</f>
        <v>0</v>
      </c>
      <c r="F93" s="10">
        <f t="shared" si="73"/>
        <v>0</v>
      </c>
      <c r="G93" s="10">
        <f t="shared" si="73"/>
        <v>0</v>
      </c>
      <c r="H93" s="10">
        <f t="shared" si="73"/>
        <v>0</v>
      </c>
      <c r="I93" s="10">
        <f t="shared" si="73"/>
        <v>0</v>
      </c>
      <c r="J93" s="10">
        <f t="shared" si="73"/>
        <v>0</v>
      </c>
      <c r="K93" s="10">
        <f t="shared" si="73"/>
        <v>0</v>
      </c>
      <c r="L93" s="10">
        <f t="shared" si="73"/>
        <v>0</v>
      </c>
      <c r="M93" s="10">
        <f t="shared" si="73"/>
        <v>0</v>
      </c>
      <c r="N93" s="10">
        <f t="shared" si="73"/>
        <v>0</v>
      </c>
      <c r="O93" s="10">
        <f t="shared" si="73"/>
        <v>0</v>
      </c>
      <c r="P93" s="10">
        <f t="shared" si="73"/>
        <v>0</v>
      </c>
    </row>
    <row r="94" spans="1:16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54">
        <f t="shared" si="73"/>
        <v>0</v>
      </c>
      <c r="F94" s="154">
        <f t="shared" si="73"/>
        <v>0</v>
      </c>
      <c r="G94" s="154">
        <f t="shared" si="73"/>
        <v>0</v>
      </c>
      <c r="H94" s="154">
        <f t="shared" si="73"/>
        <v>0</v>
      </c>
      <c r="I94" s="154">
        <f t="shared" si="73"/>
        <v>0</v>
      </c>
      <c r="J94" s="154">
        <f t="shared" si="73"/>
        <v>0</v>
      </c>
      <c r="K94" s="154">
        <f t="shared" si="73"/>
        <v>0</v>
      </c>
      <c r="L94" s="154">
        <f t="shared" si="73"/>
        <v>0</v>
      </c>
      <c r="M94" s="154">
        <f t="shared" si="73"/>
        <v>0</v>
      </c>
      <c r="N94" s="154">
        <f t="shared" si="73"/>
        <v>0</v>
      </c>
      <c r="O94" s="154">
        <f t="shared" si="73"/>
        <v>0</v>
      </c>
      <c r="P94" s="154">
        <f t="shared" si="73"/>
        <v>0</v>
      </c>
    </row>
    <row r="95" spans="1:16" s="2" customFormat="1" hidden="1" outlineLevel="2" x14ac:dyDescent="0.25">
      <c r="A95" s="62">
        <v>6320</v>
      </c>
      <c r="B95" s="18" t="s">
        <v>433</v>
      </c>
      <c r="C95" s="2" t="s">
        <v>603</v>
      </c>
      <c r="D95" s="96">
        <v>1000</v>
      </c>
      <c r="E95" s="11">
        <f>IF(E$182=0,0,($D95*(0.5*E185)))</f>
        <v>3000</v>
      </c>
      <c r="F95" s="11">
        <f t="shared" ref="F95:P95" si="74">IF(F$182=0,0,($D95*(0.5*F185)))</f>
        <v>3000</v>
      </c>
      <c r="G95" s="11">
        <f t="shared" si="74"/>
        <v>3000</v>
      </c>
      <c r="H95" s="11">
        <f t="shared" si="74"/>
        <v>3000</v>
      </c>
      <c r="I95" s="11">
        <f t="shared" si="74"/>
        <v>3000</v>
      </c>
      <c r="J95" s="11">
        <f t="shared" si="74"/>
        <v>3500</v>
      </c>
      <c r="K95" s="11">
        <f t="shared" si="74"/>
        <v>3500</v>
      </c>
      <c r="L95" s="11">
        <f t="shared" si="74"/>
        <v>3500</v>
      </c>
      <c r="M95" s="11">
        <f t="shared" si="74"/>
        <v>3500</v>
      </c>
      <c r="N95" s="11">
        <f t="shared" si="74"/>
        <v>3500</v>
      </c>
      <c r="O95" s="11">
        <f t="shared" si="74"/>
        <v>3500</v>
      </c>
      <c r="P95" s="11">
        <f t="shared" si="74"/>
        <v>3500</v>
      </c>
    </row>
    <row r="96" spans="1:16" s="2" customFormat="1" collapsed="1" x14ac:dyDescent="0.25">
      <c r="A96" s="2">
        <v>320</v>
      </c>
      <c r="B96" s="18" t="s">
        <v>434</v>
      </c>
      <c r="E96" s="10">
        <f>SUM(E93:E95)</f>
        <v>3000</v>
      </c>
      <c r="F96" s="10">
        <f t="shared" ref="F96:P96" si="75">SUM(F93:F95)</f>
        <v>3000</v>
      </c>
      <c r="G96" s="10">
        <f t="shared" si="75"/>
        <v>3000</v>
      </c>
      <c r="H96" s="10">
        <f t="shared" si="75"/>
        <v>3000</v>
      </c>
      <c r="I96" s="10">
        <f t="shared" si="75"/>
        <v>3000</v>
      </c>
      <c r="J96" s="10">
        <f t="shared" si="75"/>
        <v>3500</v>
      </c>
      <c r="K96" s="10">
        <f t="shared" si="75"/>
        <v>3500</v>
      </c>
      <c r="L96" s="10">
        <f t="shared" si="75"/>
        <v>3500</v>
      </c>
      <c r="M96" s="10">
        <f t="shared" si="75"/>
        <v>3500</v>
      </c>
      <c r="N96" s="10">
        <f t="shared" si="75"/>
        <v>3500</v>
      </c>
      <c r="O96" s="10">
        <f t="shared" si="75"/>
        <v>3500</v>
      </c>
      <c r="P96" s="10">
        <f t="shared" si="75"/>
        <v>3500</v>
      </c>
    </row>
    <row r="97" spans="1:16" s="2" customFormat="1" hidden="1" outlineLevel="2" x14ac:dyDescent="0.25">
      <c r="A97" s="62">
        <v>6331</v>
      </c>
      <c r="B97" s="18" t="s">
        <v>436</v>
      </c>
      <c r="C97" s="202" t="s">
        <v>630</v>
      </c>
      <c r="D97" s="96">
        <v>750</v>
      </c>
      <c r="E97" s="6">
        <f>IF(E$182=0,0,((SUMIFS(E$188:E$196,$A$188:$A$196,$A188)))*$D97)</f>
        <v>750</v>
      </c>
      <c r="F97" s="6">
        <f t="shared" ref="F97:P97" si="76">IF(F$182=0,0,((SUMIFS(F$188:F$196,$A$188:$A$196,$A188)))*$D97)</f>
        <v>750</v>
      </c>
      <c r="G97" s="6">
        <f t="shared" si="76"/>
        <v>750</v>
      </c>
      <c r="H97" s="6">
        <f t="shared" si="76"/>
        <v>750</v>
      </c>
      <c r="I97" s="6">
        <f t="shared" si="76"/>
        <v>750</v>
      </c>
      <c r="J97" s="6">
        <f t="shared" si="76"/>
        <v>750</v>
      </c>
      <c r="K97" s="6">
        <f t="shared" si="76"/>
        <v>750</v>
      </c>
      <c r="L97" s="6">
        <f t="shared" si="76"/>
        <v>750</v>
      </c>
      <c r="M97" s="6">
        <f t="shared" si="76"/>
        <v>750</v>
      </c>
      <c r="N97" s="6">
        <f t="shared" si="76"/>
        <v>750</v>
      </c>
      <c r="O97" s="6">
        <f t="shared" si="76"/>
        <v>750</v>
      </c>
      <c r="P97" s="6">
        <f t="shared" si="76"/>
        <v>750</v>
      </c>
    </row>
    <row r="98" spans="1:16" s="2" customFormat="1" hidden="1" outlineLevel="2" x14ac:dyDescent="0.25">
      <c r="A98" s="62">
        <v>6333</v>
      </c>
      <c r="B98" s="18" t="s">
        <v>437</v>
      </c>
      <c r="C98" s="202" t="s">
        <v>629</v>
      </c>
      <c r="D98" s="96">
        <v>1500</v>
      </c>
      <c r="E98" s="6">
        <f>IF(E$182=0,0,((SUMIFS(E$188:E$196,$A$188:$A$196,$A189)))*$D98)</f>
        <v>1500</v>
      </c>
      <c r="F98" s="6">
        <f t="shared" ref="F98:P98" si="77">IF(F$182=0,0,((SUMIFS(F$188:F$196,$A$188:$A$196,$A189)))*$D98)</f>
        <v>1500</v>
      </c>
      <c r="G98" s="6">
        <f t="shared" si="77"/>
        <v>1500</v>
      </c>
      <c r="H98" s="6">
        <f t="shared" si="77"/>
        <v>1500</v>
      </c>
      <c r="I98" s="6">
        <f t="shared" si="77"/>
        <v>1500</v>
      </c>
      <c r="J98" s="6">
        <f t="shared" si="77"/>
        <v>1500</v>
      </c>
      <c r="K98" s="6">
        <f t="shared" si="77"/>
        <v>1500</v>
      </c>
      <c r="L98" s="6">
        <f t="shared" si="77"/>
        <v>1500</v>
      </c>
      <c r="M98" s="6">
        <f t="shared" si="77"/>
        <v>1500</v>
      </c>
      <c r="N98" s="6">
        <f t="shared" si="77"/>
        <v>1500</v>
      </c>
      <c r="O98" s="6">
        <f t="shared" si="77"/>
        <v>1500</v>
      </c>
      <c r="P98" s="6">
        <f t="shared" si="77"/>
        <v>1500</v>
      </c>
    </row>
    <row r="99" spans="1:16" s="2" customFormat="1" hidden="1" outlineLevel="2" x14ac:dyDescent="0.25">
      <c r="A99" s="62">
        <v>6336</v>
      </c>
      <c r="B99" s="18" t="s">
        <v>438</v>
      </c>
      <c r="C99" s="202" t="s">
        <v>631</v>
      </c>
      <c r="D99" s="96">
        <v>500</v>
      </c>
      <c r="E99" s="6">
        <f>IF(E$182=0,0,((SUMIFS(E$188:E$196,$A$188:$A$196,$A190)))*$D99)</f>
        <v>500</v>
      </c>
      <c r="F99" s="6">
        <f t="shared" ref="F99:P99" si="78">IF(F$182=0,0,((SUMIFS(F$188:F$196,$A$188:$A$196,$A190)))*$D99)</f>
        <v>500</v>
      </c>
      <c r="G99" s="6">
        <f t="shared" si="78"/>
        <v>500</v>
      </c>
      <c r="H99" s="6">
        <f t="shared" si="78"/>
        <v>500</v>
      </c>
      <c r="I99" s="6">
        <f t="shared" si="78"/>
        <v>500</v>
      </c>
      <c r="J99" s="6">
        <f t="shared" si="78"/>
        <v>500</v>
      </c>
      <c r="K99" s="6">
        <f t="shared" si="78"/>
        <v>500</v>
      </c>
      <c r="L99" s="6">
        <f t="shared" si="78"/>
        <v>500</v>
      </c>
      <c r="M99" s="6">
        <f t="shared" si="78"/>
        <v>500</v>
      </c>
      <c r="N99" s="6">
        <f t="shared" si="78"/>
        <v>500</v>
      </c>
      <c r="O99" s="6">
        <f t="shared" si="78"/>
        <v>500</v>
      </c>
      <c r="P99" s="6">
        <f t="shared" si="78"/>
        <v>500</v>
      </c>
    </row>
    <row r="100" spans="1:16" s="2" customFormat="1" hidden="1" outlineLevel="2" x14ac:dyDescent="0.25">
      <c r="A100" s="62">
        <v>6337</v>
      </c>
      <c r="B100" s="18" t="s">
        <v>439</v>
      </c>
      <c r="C100" s="202" t="s">
        <v>632</v>
      </c>
      <c r="D100" s="85">
        <v>125</v>
      </c>
      <c r="E100" s="32">
        <f>IF(E$182=0,0,((SUMIFS(E$188:E$196,$A$188:$A$196,$A191)))*$D100)</f>
        <v>500</v>
      </c>
      <c r="F100" s="32">
        <f t="shared" ref="F100:P100" si="79">IF(F$182=0,0,((SUMIFS(F$188:F$196,$A$188:$A$196,$A191)))*$D100)</f>
        <v>500</v>
      </c>
      <c r="G100" s="32">
        <f t="shared" si="79"/>
        <v>500</v>
      </c>
      <c r="H100" s="32">
        <f t="shared" si="79"/>
        <v>500</v>
      </c>
      <c r="I100" s="32">
        <f t="shared" si="79"/>
        <v>500</v>
      </c>
      <c r="J100" s="32">
        <f t="shared" si="79"/>
        <v>500</v>
      </c>
      <c r="K100" s="32">
        <f t="shared" si="79"/>
        <v>500</v>
      </c>
      <c r="L100" s="32">
        <f t="shared" si="79"/>
        <v>500</v>
      </c>
      <c r="M100" s="32">
        <f t="shared" si="79"/>
        <v>500</v>
      </c>
      <c r="N100" s="32">
        <f t="shared" si="79"/>
        <v>500</v>
      </c>
      <c r="O100" s="32">
        <f t="shared" si="79"/>
        <v>500</v>
      </c>
      <c r="P100" s="32">
        <f t="shared" si="79"/>
        <v>500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0">
        <f>SUM(E97:E100)</f>
        <v>3250</v>
      </c>
      <c r="F101" s="10">
        <f t="shared" ref="F101:P101" si="80">SUM(F97:F100)</f>
        <v>3250</v>
      </c>
      <c r="G101" s="10">
        <f t="shared" si="80"/>
        <v>3250</v>
      </c>
      <c r="H101" s="10">
        <f t="shared" si="80"/>
        <v>3250</v>
      </c>
      <c r="I101" s="10">
        <f t="shared" si="80"/>
        <v>3250</v>
      </c>
      <c r="J101" s="10">
        <f t="shared" si="80"/>
        <v>3250</v>
      </c>
      <c r="K101" s="10">
        <f t="shared" si="80"/>
        <v>3250</v>
      </c>
      <c r="L101" s="10">
        <f t="shared" si="80"/>
        <v>3250</v>
      </c>
      <c r="M101" s="10">
        <f t="shared" si="80"/>
        <v>3250</v>
      </c>
      <c r="N101" s="10">
        <f t="shared" si="80"/>
        <v>3250</v>
      </c>
      <c r="O101" s="10">
        <f t="shared" si="80"/>
        <v>3250</v>
      </c>
      <c r="P101" s="10">
        <f t="shared" si="80"/>
        <v>3250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07">
        <f t="shared" ref="E102:P107" si="81">IF(E$182=0,0,$D102)</f>
        <v>0</v>
      </c>
      <c r="F102" s="107">
        <f t="shared" si="81"/>
        <v>0</v>
      </c>
      <c r="G102" s="107">
        <f t="shared" si="81"/>
        <v>0</v>
      </c>
      <c r="H102" s="107">
        <f t="shared" si="81"/>
        <v>0</v>
      </c>
      <c r="I102" s="107">
        <f t="shared" si="81"/>
        <v>0</v>
      </c>
      <c r="J102" s="107">
        <f t="shared" si="81"/>
        <v>0</v>
      </c>
      <c r="K102" s="107">
        <f t="shared" si="81"/>
        <v>0</v>
      </c>
      <c r="L102" s="107">
        <f t="shared" si="81"/>
        <v>0</v>
      </c>
      <c r="M102" s="107">
        <f t="shared" si="81"/>
        <v>0</v>
      </c>
      <c r="N102" s="107">
        <f t="shared" si="81"/>
        <v>0</v>
      </c>
      <c r="O102" s="107">
        <f t="shared" si="81"/>
        <v>0</v>
      </c>
      <c r="P102" s="107">
        <f t="shared" si="81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0</v>
      </c>
      <c r="E103" s="107">
        <f t="shared" si="81"/>
        <v>0</v>
      </c>
      <c r="F103" s="107">
        <f t="shared" si="81"/>
        <v>0</v>
      </c>
      <c r="G103" s="107">
        <f t="shared" si="81"/>
        <v>0</v>
      </c>
      <c r="H103" s="107">
        <f t="shared" si="81"/>
        <v>0</v>
      </c>
      <c r="I103" s="107">
        <f t="shared" si="81"/>
        <v>0</v>
      </c>
      <c r="J103" s="107">
        <f t="shared" si="81"/>
        <v>0</v>
      </c>
      <c r="K103" s="107">
        <f t="shared" si="81"/>
        <v>0</v>
      </c>
      <c r="L103" s="107">
        <f t="shared" si="81"/>
        <v>0</v>
      </c>
      <c r="M103" s="107">
        <f t="shared" si="81"/>
        <v>0</v>
      </c>
      <c r="N103" s="107">
        <f t="shared" si="81"/>
        <v>0</v>
      </c>
      <c r="O103" s="107">
        <f t="shared" si="81"/>
        <v>0</v>
      </c>
      <c r="P103" s="107">
        <f t="shared" si="81"/>
        <v>0</v>
      </c>
    </row>
    <row r="104" spans="1:16" s="2" customFormat="1" x14ac:dyDescent="0.25">
      <c r="A104" s="2">
        <v>340</v>
      </c>
      <c r="B104" s="18" t="s">
        <v>489</v>
      </c>
      <c r="C104" s="297" t="s">
        <v>604</v>
      </c>
      <c r="D104" s="96">
        <v>0</v>
      </c>
      <c r="E104" s="107">
        <f t="shared" si="81"/>
        <v>0</v>
      </c>
      <c r="F104" s="107">
        <f t="shared" si="81"/>
        <v>0</v>
      </c>
      <c r="G104" s="107">
        <f t="shared" si="81"/>
        <v>0</v>
      </c>
      <c r="H104" s="107">
        <f t="shared" si="81"/>
        <v>0</v>
      </c>
      <c r="I104" s="107">
        <f t="shared" si="81"/>
        <v>0</v>
      </c>
      <c r="J104" s="107">
        <f t="shared" si="81"/>
        <v>0</v>
      </c>
      <c r="K104" s="107">
        <f t="shared" si="81"/>
        <v>0</v>
      </c>
      <c r="L104" s="107">
        <f t="shared" si="81"/>
        <v>0</v>
      </c>
      <c r="M104" s="107">
        <f t="shared" si="81"/>
        <v>0</v>
      </c>
      <c r="N104" s="107">
        <f t="shared" si="81"/>
        <v>0</v>
      </c>
      <c r="O104" s="107">
        <f t="shared" si="81"/>
        <v>0</v>
      </c>
      <c r="P104" s="107">
        <f t="shared" si="81"/>
        <v>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0</v>
      </c>
      <c r="E105" s="107">
        <f t="shared" si="81"/>
        <v>0</v>
      </c>
      <c r="F105" s="107">
        <f t="shared" si="81"/>
        <v>0</v>
      </c>
      <c r="G105" s="107">
        <f t="shared" si="81"/>
        <v>0</v>
      </c>
      <c r="H105" s="107">
        <f t="shared" si="81"/>
        <v>0</v>
      </c>
      <c r="I105" s="107">
        <f t="shared" si="81"/>
        <v>0</v>
      </c>
      <c r="J105" s="107">
        <f t="shared" si="81"/>
        <v>0</v>
      </c>
      <c r="K105" s="107">
        <f t="shared" si="81"/>
        <v>0</v>
      </c>
      <c r="L105" s="107">
        <f t="shared" si="81"/>
        <v>0</v>
      </c>
      <c r="M105" s="107">
        <f t="shared" si="81"/>
        <v>0</v>
      </c>
      <c r="N105" s="107">
        <f t="shared" si="81"/>
        <v>0</v>
      </c>
      <c r="O105" s="107">
        <f t="shared" si="81"/>
        <v>0</v>
      </c>
      <c r="P105" s="107">
        <f t="shared" si="81"/>
        <v>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604</v>
      </c>
      <c r="D106" s="96">
        <v>0</v>
      </c>
      <c r="E106" s="107">
        <f t="shared" si="81"/>
        <v>0</v>
      </c>
      <c r="F106" s="107">
        <f t="shared" si="81"/>
        <v>0</v>
      </c>
      <c r="G106" s="107">
        <f t="shared" si="81"/>
        <v>0</v>
      </c>
      <c r="H106" s="107">
        <f t="shared" si="81"/>
        <v>0</v>
      </c>
      <c r="I106" s="107">
        <f t="shared" si="81"/>
        <v>0</v>
      </c>
      <c r="J106" s="107">
        <f t="shared" si="81"/>
        <v>0</v>
      </c>
      <c r="K106" s="107">
        <f t="shared" si="81"/>
        <v>0</v>
      </c>
      <c r="L106" s="107">
        <f t="shared" si="81"/>
        <v>0</v>
      </c>
      <c r="M106" s="107">
        <f t="shared" si="81"/>
        <v>0</v>
      </c>
      <c r="N106" s="107">
        <f t="shared" si="81"/>
        <v>0</v>
      </c>
      <c r="O106" s="107">
        <f t="shared" si="81"/>
        <v>0</v>
      </c>
      <c r="P106" s="107">
        <f t="shared" si="81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32">
        <f t="shared" si="81"/>
        <v>0</v>
      </c>
      <c r="F107" s="32">
        <f t="shared" si="81"/>
        <v>0</v>
      </c>
      <c r="G107" s="32">
        <f t="shared" si="81"/>
        <v>0</v>
      </c>
      <c r="H107" s="32">
        <f t="shared" si="81"/>
        <v>0</v>
      </c>
      <c r="I107" s="32">
        <f t="shared" si="81"/>
        <v>0</v>
      </c>
      <c r="J107" s="32">
        <f t="shared" si="81"/>
        <v>0</v>
      </c>
      <c r="K107" s="32">
        <f t="shared" si="81"/>
        <v>0</v>
      </c>
      <c r="L107" s="32">
        <f t="shared" si="81"/>
        <v>0</v>
      </c>
      <c r="M107" s="32">
        <f t="shared" si="81"/>
        <v>0</v>
      </c>
      <c r="N107" s="32">
        <f t="shared" si="81"/>
        <v>0</v>
      </c>
      <c r="O107" s="32">
        <f t="shared" si="81"/>
        <v>0</v>
      </c>
      <c r="P107" s="32">
        <f t="shared" si="81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0">
        <f>SUM(E106:E107)</f>
        <v>0</v>
      </c>
      <c r="F108" s="10">
        <f t="shared" ref="F108:P108" si="82">SUM(F106:F107)</f>
        <v>0</v>
      </c>
      <c r="G108" s="10">
        <f t="shared" si="82"/>
        <v>0</v>
      </c>
      <c r="H108" s="10">
        <f t="shared" si="82"/>
        <v>0</v>
      </c>
      <c r="I108" s="10">
        <f t="shared" si="82"/>
        <v>0</v>
      </c>
      <c r="J108" s="10">
        <f t="shared" si="82"/>
        <v>0</v>
      </c>
      <c r="K108" s="10">
        <f t="shared" si="82"/>
        <v>0</v>
      </c>
      <c r="L108" s="10">
        <f t="shared" si="82"/>
        <v>0</v>
      </c>
      <c r="M108" s="10">
        <f t="shared" si="82"/>
        <v>0</v>
      </c>
      <c r="N108" s="10">
        <f t="shared" si="82"/>
        <v>0</v>
      </c>
      <c r="O108" s="10">
        <f t="shared" si="82"/>
        <v>0</v>
      </c>
      <c r="P108" s="10">
        <f t="shared" si="82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656</v>
      </c>
      <c r="D109" s="164">
        <v>0</v>
      </c>
      <c r="E109" s="107">
        <f>IF(E$182=0,0,($D109*100))</f>
        <v>0</v>
      </c>
      <c r="F109" s="107">
        <f t="shared" ref="F109:P109" si="83">IF(F$182=0,0,($D109*100))</f>
        <v>0</v>
      </c>
      <c r="G109" s="107">
        <f t="shared" si="83"/>
        <v>0</v>
      </c>
      <c r="H109" s="107">
        <f t="shared" si="83"/>
        <v>0</v>
      </c>
      <c r="I109" s="107">
        <f t="shared" si="83"/>
        <v>0</v>
      </c>
      <c r="J109" s="107">
        <f t="shared" si="83"/>
        <v>0</v>
      </c>
      <c r="K109" s="107">
        <f t="shared" si="83"/>
        <v>0</v>
      </c>
      <c r="L109" s="107">
        <f t="shared" si="83"/>
        <v>0</v>
      </c>
      <c r="M109" s="107">
        <f t="shared" si="83"/>
        <v>0</v>
      </c>
      <c r="N109" s="107">
        <f t="shared" si="83"/>
        <v>0</v>
      </c>
      <c r="O109" s="107">
        <f t="shared" si="83"/>
        <v>0</v>
      </c>
      <c r="P109" s="107">
        <f t="shared" si="83"/>
        <v>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701</v>
      </c>
      <c r="D111" s="199">
        <v>40</v>
      </c>
      <c r="E111" s="10">
        <f>ROUND((($D111*(1+E$11))*E$182*0.75),0)</f>
        <v>9000</v>
      </c>
      <c r="F111" s="10">
        <f t="shared" ref="F111:P111" si="85">ROUND((($D111*(1+F$11))*F$182*0.75),0)</f>
        <v>9364</v>
      </c>
      <c r="G111" s="10">
        <f t="shared" si="85"/>
        <v>9734</v>
      </c>
      <c r="H111" s="10">
        <f t="shared" si="85"/>
        <v>10112</v>
      </c>
      <c r="I111" s="10">
        <f t="shared" si="85"/>
        <v>10498</v>
      </c>
      <c r="J111" s="10">
        <f t="shared" si="85"/>
        <v>10890</v>
      </c>
      <c r="K111" s="10">
        <f t="shared" si="85"/>
        <v>11323</v>
      </c>
      <c r="L111" s="10">
        <f t="shared" si="85"/>
        <v>11765</v>
      </c>
      <c r="M111" s="10">
        <f t="shared" si="85"/>
        <v>12215</v>
      </c>
      <c r="N111" s="10">
        <f t="shared" si="85"/>
        <v>12673</v>
      </c>
      <c r="O111" s="10">
        <f t="shared" si="85"/>
        <v>13140</v>
      </c>
      <c r="P111" s="10">
        <f t="shared" si="85"/>
        <v>13615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2100</v>
      </c>
      <c r="F112" s="10">
        <f t="shared" ref="F112:P113" si="86">ROUND((($D112*(1+F$11))*F$182),0)</f>
        <v>2185</v>
      </c>
      <c r="G112" s="10">
        <f t="shared" si="86"/>
        <v>2271</v>
      </c>
      <c r="H112" s="10">
        <f t="shared" si="86"/>
        <v>2360</v>
      </c>
      <c r="I112" s="10">
        <f t="shared" si="86"/>
        <v>2449</v>
      </c>
      <c r="J112" s="10">
        <f t="shared" si="86"/>
        <v>2541</v>
      </c>
      <c r="K112" s="10">
        <f t="shared" si="86"/>
        <v>2642</v>
      </c>
      <c r="L112" s="10">
        <f t="shared" si="86"/>
        <v>2745</v>
      </c>
      <c r="M112" s="10">
        <f t="shared" si="86"/>
        <v>2850</v>
      </c>
      <c r="N112" s="10">
        <f t="shared" si="86"/>
        <v>2957</v>
      </c>
      <c r="O112" s="10">
        <f t="shared" si="86"/>
        <v>3066</v>
      </c>
      <c r="P112" s="10">
        <f t="shared" si="86"/>
        <v>3177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3000</v>
      </c>
      <c r="F113" s="11">
        <f t="shared" si="86"/>
        <v>3121</v>
      </c>
      <c r="G113" s="11">
        <f t="shared" si="86"/>
        <v>3245</v>
      </c>
      <c r="H113" s="11">
        <f t="shared" si="86"/>
        <v>3371</v>
      </c>
      <c r="I113" s="11">
        <f t="shared" si="86"/>
        <v>3499</v>
      </c>
      <c r="J113" s="11">
        <f t="shared" si="86"/>
        <v>3630</v>
      </c>
      <c r="K113" s="11">
        <f t="shared" si="86"/>
        <v>3774</v>
      </c>
      <c r="L113" s="11">
        <f t="shared" si="86"/>
        <v>3922</v>
      </c>
      <c r="M113" s="11">
        <f t="shared" si="86"/>
        <v>4072</v>
      </c>
      <c r="N113" s="11">
        <f t="shared" si="86"/>
        <v>4224</v>
      </c>
      <c r="O113" s="11">
        <f t="shared" si="86"/>
        <v>4380</v>
      </c>
      <c r="P113" s="11">
        <f t="shared" si="86"/>
        <v>4538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0">
        <f>SUM(E110:E113)</f>
        <v>14100</v>
      </c>
      <c r="F114" s="10">
        <f t="shared" ref="F114:P114" si="87">SUM(F110:F113)</f>
        <v>14670</v>
      </c>
      <c r="G114" s="10">
        <f t="shared" si="87"/>
        <v>15250</v>
      </c>
      <c r="H114" s="10">
        <f t="shared" si="87"/>
        <v>15843</v>
      </c>
      <c r="I114" s="10">
        <f t="shared" si="87"/>
        <v>16446</v>
      </c>
      <c r="J114" s="10">
        <f t="shared" si="87"/>
        <v>17061</v>
      </c>
      <c r="K114" s="10">
        <f t="shared" si="87"/>
        <v>17739</v>
      </c>
      <c r="L114" s="10">
        <f t="shared" si="87"/>
        <v>18432</v>
      </c>
      <c r="M114" s="10">
        <f t="shared" si="87"/>
        <v>19137</v>
      </c>
      <c r="N114" s="10">
        <f t="shared" si="87"/>
        <v>19854</v>
      </c>
      <c r="O114" s="10">
        <f t="shared" si="87"/>
        <v>20586</v>
      </c>
      <c r="P114" s="10">
        <f t="shared" si="87"/>
        <v>21330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>
        <v>120</v>
      </c>
      <c r="E115" s="10">
        <f t="shared" ref="E115:P115" si="88">IF(E$182=0,0,($D115*12)*(1+E$11))</f>
        <v>1440</v>
      </c>
      <c r="F115" s="10">
        <f t="shared" si="88"/>
        <v>1468.8</v>
      </c>
      <c r="G115" s="10">
        <f t="shared" si="88"/>
        <v>1497.6000000000001</v>
      </c>
      <c r="H115" s="10">
        <f t="shared" si="88"/>
        <v>1526.4</v>
      </c>
      <c r="I115" s="10">
        <f t="shared" si="88"/>
        <v>1555.2</v>
      </c>
      <c r="J115" s="10">
        <f t="shared" si="88"/>
        <v>1584.0000000000002</v>
      </c>
      <c r="K115" s="10">
        <f t="shared" si="88"/>
        <v>1612.8000000000002</v>
      </c>
      <c r="L115" s="10">
        <f t="shared" si="88"/>
        <v>1641.6000000000001</v>
      </c>
      <c r="M115" s="10">
        <f t="shared" si="88"/>
        <v>1670.3999999999999</v>
      </c>
      <c r="N115" s="10">
        <f t="shared" si="88"/>
        <v>1699.1999999999998</v>
      </c>
      <c r="O115" s="10">
        <f t="shared" si="88"/>
        <v>1728</v>
      </c>
      <c r="P115" s="10">
        <f t="shared" si="88"/>
        <v>1756.8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500</v>
      </c>
      <c r="E116" s="10">
        <f>IF(E$182=0,0,$D116*12)</f>
        <v>6000</v>
      </c>
      <c r="F116" s="10">
        <f t="shared" ref="F116:P116" si="89">IF(F$182=0,0,$D116*12)</f>
        <v>6000</v>
      </c>
      <c r="G116" s="10">
        <f t="shared" si="89"/>
        <v>6000</v>
      </c>
      <c r="H116" s="10">
        <f t="shared" si="89"/>
        <v>6000</v>
      </c>
      <c r="I116" s="10">
        <f t="shared" si="89"/>
        <v>6000</v>
      </c>
      <c r="J116" s="10">
        <f t="shared" si="89"/>
        <v>6000</v>
      </c>
      <c r="K116" s="10">
        <f t="shared" si="89"/>
        <v>6000</v>
      </c>
      <c r="L116" s="10">
        <f t="shared" si="89"/>
        <v>6000</v>
      </c>
      <c r="M116" s="10">
        <f t="shared" si="89"/>
        <v>6000</v>
      </c>
      <c r="N116" s="10">
        <f t="shared" si="89"/>
        <v>6000</v>
      </c>
      <c r="O116" s="10">
        <f t="shared" si="89"/>
        <v>6000</v>
      </c>
      <c r="P116" s="10">
        <f t="shared" si="89"/>
        <v>6000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200</v>
      </c>
      <c r="E117" s="11">
        <f>IF(E$182=0,0,ROUND(($D117*12),0))</f>
        <v>2400</v>
      </c>
      <c r="F117" s="11">
        <f t="shared" ref="F117:P117" si="90">IF(F$182=0,0,ROUND(($D117*12),0))</f>
        <v>2400</v>
      </c>
      <c r="G117" s="11">
        <f t="shared" si="90"/>
        <v>2400</v>
      </c>
      <c r="H117" s="11">
        <f t="shared" si="90"/>
        <v>2400</v>
      </c>
      <c r="I117" s="11">
        <f t="shared" si="90"/>
        <v>2400</v>
      </c>
      <c r="J117" s="11">
        <f t="shared" si="90"/>
        <v>2400</v>
      </c>
      <c r="K117" s="11">
        <f t="shared" si="90"/>
        <v>2400</v>
      </c>
      <c r="L117" s="11">
        <f t="shared" si="90"/>
        <v>2400</v>
      </c>
      <c r="M117" s="11">
        <f t="shared" si="90"/>
        <v>2400</v>
      </c>
      <c r="N117" s="11">
        <f t="shared" si="90"/>
        <v>2400</v>
      </c>
      <c r="O117" s="11">
        <f t="shared" si="90"/>
        <v>2400</v>
      </c>
      <c r="P117" s="11">
        <f t="shared" si="90"/>
        <v>2400</v>
      </c>
    </row>
    <row r="118" spans="1:16" s="2" customFormat="1" collapsed="1" x14ac:dyDescent="0.25">
      <c r="A118" s="2">
        <v>400</v>
      </c>
      <c r="B118" s="18" t="s">
        <v>445</v>
      </c>
      <c r="E118" s="10">
        <f>SUM(E115:E117)</f>
        <v>9840</v>
      </c>
      <c r="F118" s="10">
        <f t="shared" ref="F118:P118" si="91">SUM(F115:F117)</f>
        <v>9868.7999999999993</v>
      </c>
      <c r="G118" s="10">
        <f t="shared" si="91"/>
        <v>9897.6</v>
      </c>
      <c r="H118" s="10">
        <f t="shared" si="91"/>
        <v>9926.4</v>
      </c>
      <c r="I118" s="10">
        <f t="shared" si="91"/>
        <v>9955.2000000000007</v>
      </c>
      <c r="J118" s="10">
        <f t="shared" si="91"/>
        <v>9984</v>
      </c>
      <c r="K118" s="10">
        <f t="shared" si="91"/>
        <v>10012.799999999999</v>
      </c>
      <c r="L118" s="10">
        <f t="shared" si="91"/>
        <v>10041.6</v>
      </c>
      <c r="M118" s="10">
        <f t="shared" si="91"/>
        <v>10070.4</v>
      </c>
      <c r="N118" s="10">
        <f t="shared" si="91"/>
        <v>10099.200000000001</v>
      </c>
      <c r="O118" s="10">
        <f t="shared" si="91"/>
        <v>10128</v>
      </c>
      <c r="P118" s="10">
        <f t="shared" si="91"/>
        <v>10156.799999999999</v>
      </c>
    </row>
    <row r="119" spans="1:16" s="2" customFormat="1" x14ac:dyDescent="0.25">
      <c r="A119" s="2">
        <v>440</v>
      </c>
      <c r="B119" s="18" t="s">
        <v>464</v>
      </c>
      <c r="C119" s="2" t="s">
        <v>590</v>
      </c>
      <c r="D119" s="164"/>
      <c r="E119" s="10">
        <f>IF(E$182=0,0,E224)</f>
        <v>105300</v>
      </c>
      <c r="F119" s="10">
        <f t="shared" ref="F119:P119" si="92">IF(F$182=0,0,F224)</f>
        <v>107900</v>
      </c>
      <c r="G119" s="10">
        <f t="shared" si="92"/>
        <v>111700</v>
      </c>
      <c r="H119" s="10">
        <f t="shared" si="92"/>
        <v>136800</v>
      </c>
      <c r="I119" s="10">
        <f t="shared" si="92"/>
        <v>140904</v>
      </c>
      <c r="J119" s="10">
        <f t="shared" si="92"/>
        <v>145131.12000000002</v>
      </c>
      <c r="K119" s="10">
        <f t="shared" si="92"/>
        <v>149485.05360000001</v>
      </c>
      <c r="L119" s="10">
        <f t="shared" si="92"/>
        <v>153969.60520800002</v>
      </c>
      <c r="M119" s="10">
        <f t="shared" si="92"/>
        <v>158588.69336424005</v>
      </c>
      <c r="N119" s="10">
        <f t="shared" si="92"/>
        <v>163346.35416516723</v>
      </c>
      <c r="O119" s="10">
        <f t="shared" si="92"/>
        <v>168246.74479012223</v>
      </c>
      <c r="P119" s="10">
        <f t="shared" si="92"/>
        <v>173294.14713382593</v>
      </c>
    </row>
    <row r="120" spans="1:16" s="2" customFormat="1" x14ac:dyDescent="0.25">
      <c r="A120" s="2">
        <v>440</v>
      </c>
      <c r="B120" s="18" t="s">
        <v>585</v>
      </c>
      <c r="C120" s="297" t="s">
        <v>589</v>
      </c>
      <c r="D120" s="85">
        <v>0</v>
      </c>
      <c r="E120" s="107">
        <f>IF(E$182=0,0,$D120)</f>
        <v>0</v>
      </c>
      <c r="F120" s="107">
        <f t="shared" ref="F120:P120" si="93">IF(F$182=0,0,$D120)</f>
        <v>0</v>
      </c>
      <c r="G120" s="107">
        <f t="shared" si="93"/>
        <v>0</v>
      </c>
      <c r="H120" s="107">
        <f t="shared" si="93"/>
        <v>0</v>
      </c>
      <c r="I120" s="107">
        <f t="shared" si="93"/>
        <v>0</v>
      </c>
      <c r="J120" s="107">
        <f t="shared" si="93"/>
        <v>0</v>
      </c>
      <c r="K120" s="107">
        <f t="shared" si="93"/>
        <v>0</v>
      </c>
      <c r="L120" s="107">
        <f t="shared" si="93"/>
        <v>0</v>
      </c>
      <c r="M120" s="107">
        <f t="shared" si="93"/>
        <v>0</v>
      </c>
      <c r="N120" s="107">
        <f t="shared" si="93"/>
        <v>0</v>
      </c>
      <c r="O120" s="107">
        <f t="shared" si="93"/>
        <v>0</v>
      </c>
      <c r="P120" s="107">
        <f t="shared" si="93"/>
        <v>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718</v>
      </c>
      <c r="D121" s="85">
        <v>0</v>
      </c>
      <c r="E121" s="10">
        <f>IF(E$182=0,0,$D121*12)+1000</f>
        <v>1000</v>
      </c>
      <c r="F121" s="10">
        <f t="shared" ref="F121:P121" si="94">IF(F$182=0,0,$D121*12)</f>
        <v>0</v>
      </c>
      <c r="G121" s="10">
        <f t="shared" si="94"/>
        <v>0</v>
      </c>
      <c r="H121" s="10">
        <f t="shared" si="94"/>
        <v>0</v>
      </c>
      <c r="I121" s="10">
        <f t="shared" si="94"/>
        <v>0</v>
      </c>
      <c r="J121" s="10">
        <f t="shared" si="94"/>
        <v>0</v>
      </c>
      <c r="K121" s="10">
        <f t="shared" si="94"/>
        <v>0</v>
      </c>
      <c r="L121" s="10">
        <f t="shared" si="94"/>
        <v>0</v>
      </c>
      <c r="M121" s="10">
        <f t="shared" si="94"/>
        <v>0</v>
      </c>
      <c r="N121" s="10">
        <f t="shared" si="94"/>
        <v>0</v>
      </c>
      <c r="O121" s="10">
        <f t="shared" si="94"/>
        <v>0</v>
      </c>
      <c r="P121" s="10">
        <f t="shared" si="94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07">
        <f>IF(E$182=0,0,($D122*(1+E$11)*12))</f>
        <v>600</v>
      </c>
      <c r="F122" s="107">
        <f t="shared" ref="F122:P122" si="95">IF(F$182=0,0,($D122*(1+F$11)*12))</f>
        <v>612</v>
      </c>
      <c r="G122" s="107">
        <f t="shared" si="95"/>
        <v>624</v>
      </c>
      <c r="H122" s="107">
        <f t="shared" si="95"/>
        <v>636</v>
      </c>
      <c r="I122" s="107">
        <f t="shared" si="95"/>
        <v>648</v>
      </c>
      <c r="J122" s="107">
        <f t="shared" si="95"/>
        <v>660.00000000000011</v>
      </c>
      <c r="K122" s="107">
        <f t="shared" si="95"/>
        <v>672.00000000000011</v>
      </c>
      <c r="L122" s="107">
        <f t="shared" si="95"/>
        <v>684.00000000000011</v>
      </c>
      <c r="M122" s="107">
        <f t="shared" si="95"/>
        <v>695.99999999999989</v>
      </c>
      <c r="N122" s="107">
        <f t="shared" si="95"/>
        <v>708</v>
      </c>
      <c r="O122" s="107">
        <f t="shared" si="95"/>
        <v>720</v>
      </c>
      <c r="P122" s="107">
        <f t="shared" si="95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07">
        <f>IF(E$182=0,0,($D123*12))</f>
        <v>0</v>
      </c>
      <c r="F123" s="107">
        <f t="shared" ref="F123:P123" si="96">IF(F$182=0,0,($D123*12))</f>
        <v>0</v>
      </c>
      <c r="G123" s="107">
        <f t="shared" si="96"/>
        <v>0</v>
      </c>
      <c r="H123" s="107">
        <f t="shared" si="96"/>
        <v>0</v>
      </c>
      <c r="I123" s="107">
        <f t="shared" si="96"/>
        <v>0</v>
      </c>
      <c r="J123" s="107">
        <f t="shared" si="96"/>
        <v>0</v>
      </c>
      <c r="K123" s="107">
        <f t="shared" si="96"/>
        <v>0</v>
      </c>
      <c r="L123" s="107">
        <f t="shared" si="96"/>
        <v>0</v>
      </c>
      <c r="M123" s="107">
        <f t="shared" si="96"/>
        <v>0</v>
      </c>
      <c r="N123" s="107">
        <f t="shared" si="96"/>
        <v>0</v>
      </c>
      <c r="O123" s="107">
        <f t="shared" si="96"/>
        <v>0</v>
      </c>
      <c r="P123" s="107">
        <f t="shared" si="96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140</v>
      </c>
      <c r="E124" s="107">
        <f t="shared" ref="E124:P125" si="97">IF(E$182=0,0,($D124*(1+E$11)*12))</f>
        <v>1680</v>
      </c>
      <c r="F124" s="107">
        <f t="shared" si="97"/>
        <v>1713.6000000000001</v>
      </c>
      <c r="G124" s="107">
        <f t="shared" si="97"/>
        <v>1747.1999999999998</v>
      </c>
      <c r="H124" s="107">
        <f t="shared" si="97"/>
        <v>1780.8000000000002</v>
      </c>
      <c r="I124" s="107">
        <f t="shared" si="97"/>
        <v>1814.4</v>
      </c>
      <c r="J124" s="107">
        <f t="shared" si="97"/>
        <v>1848</v>
      </c>
      <c r="K124" s="107">
        <f t="shared" si="97"/>
        <v>1881.6000000000001</v>
      </c>
      <c r="L124" s="107">
        <f t="shared" si="97"/>
        <v>1915.2000000000003</v>
      </c>
      <c r="M124" s="107">
        <f t="shared" si="97"/>
        <v>1948.7999999999997</v>
      </c>
      <c r="N124" s="107">
        <f t="shared" si="97"/>
        <v>1982.3999999999999</v>
      </c>
      <c r="O124" s="107">
        <f t="shared" si="97"/>
        <v>2016</v>
      </c>
      <c r="P124" s="107">
        <f t="shared" si="97"/>
        <v>2049.6</v>
      </c>
    </row>
    <row r="125" spans="1:16" s="2" customFormat="1" hidden="1" outlineLevel="1" x14ac:dyDescent="0.25">
      <c r="A125" s="2">
        <v>6535</v>
      </c>
      <c r="B125" s="18" t="s">
        <v>456</v>
      </c>
      <c r="C125" s="301" t="s">
        <v>605</v>
      </c>
      <c r="D125" s="85">
        <v>0</v>
      </c>
      <c r="E125" s="32">
        <f t="shared" si="97"/>
        <v>0</v>
      </c>
      <c r="F125" s="32">
        <f t="shared" si="97"/>
        <v>0</v>
      </c>
      <c r="G125" s="32">
        <f t="shared" si="97"/>
        <v>0</v>
      </c>
      <c r="H125" s="32">
        <f t="shared" si="97"/>
        <v>0</v>
      </c>
      <c r="I125" s="32">
        <f t="shared" si="97"/>
        <v>0</v>
      </c>
      <c r="J125" s="32">
        <f t="shared" si="97"/>
        <v>0</v>
      </c>
      <c r="K125" s="32">
        <f t="shared" si="97"/>
        <v>0</v>
      </c>
      <c r="L125" s="32">
        <f t="shared" si="97"/>
        <v>0</v>
      </c>
      <c r="M125" s="32">
        <f t="shared" si="97"/>
        <v>0</v>
      </c>
      <c r="N125" s="32">
        <f t="shared" si="97"/>
        <v>0</v>
      </c>
      <c r="O125" s="32">
        <f t="shared" si="97"/>
        <v>0</v>
      </c>
      <c r="P125" s="32">
        <f t="shared" si="97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0">
        <f>SUM(E121:E125)</f>
        <v>3280</v>
      </c>
      <c r="F126" s="10">
        <f t="shared" ref="F126:P126" si="98">SUM(F121:F125)</f>
        <v>2325.6000000000004</v>
      </c>
      <c r="G126" s="10">
        <f t="shared" si="98"/>
        <v>2371.1999999999998</v>
      </c>
      <c r="H126" s="10">
        <f t="shared" si="98"/>
        <v>2416.8000000000002</v>
      </c>
      <c r="I126" s="10">
        <f t="shared" si="98"/>
        <v>2462.4</v>
      </c>
      <c r="J126" s="10">
        <f t="shared" si="98"/>
        <v>2508</v>
      </c>
      <c r="K126" s="10">
        <f t="shared" si="98"/>
        <v>2553.6000000000004</v>
      </c>
      <c r="L126" s="10">
        <f t="shared" si="98"/>
        <v>2599.2000000000003</v>
      </c>
      <c r="M126" s="10">
        <f t="shared" si="98"/>
        <v>2644.7999999999997</v>
      </c>
      <c r="N126" s="10">
        <f t="shared" si="98"/>
        <v>2690.3999999999996</v>
      </c>
      <c r="O126" s="10">
        <f t="shared" si="98"/>
        <v>2736</v>
      </c>
      <c r="P126" s="10">
        <f t="shared" si="98"/>
        <v>2781.6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11</v>
      </c>
      <c r="E127" s="10">
        <f t="shared" ref="E127:E132" si="99">ROUND(($D127*(1+E$11)*E$182),0)</f>
        <v>3300</v>
      </c>
      <c r="F127" s="10">
        <f t="shared" ref="F127:P127" si="100">ROUND(($D127*(1+F$11)*F$182),0)</f>
        <v>3433</v>
      </c>
      <c r="G127" s="10">
        <f t="shared" si="100"/>
        <v>3569</v>
      </c>
      <c r="H127" s="10">
        <f t="shared" si="100"/>
        <v>3708</v>
      </c>
      <c r="I127" s="10">
        <f t="shared" si="100"/>
        <v>3849</v>
      </c>
      <c r="J127" s="10">
        <f t="shared" si="100"/>
        <v>3993</v>
      </c>
      <c r="K127" s="10">
        <f t="shared" si="100"/>
        <v>4152</v>
      </c>
      <c r="L127" s="10">
        <f t="shared" si="100"/>
        <v>4314</v>
      </c>
      <c r="M127" s="10">
        <f t="shared" si="100"/>
        <v>4479</v>
      </c>
      <c r="N127" s="10">
        <f t="shared" si="100"/>
        <v>4647</v>
      </c>
      <c r="O127" s="10">
        <f t="shared" si="100"/>
        <v>4818</v>
      </c>
      <c r="P127" s="10">
        <f t="shared" si="100"/>
        <v>4992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0">
        <f t="shared" si="99"/>
        <v>0</v>
      </c>
      <c r="F128" s="10">
        <f t="shared" ref="F128:P132" si="101">ROUND(($D128*(1+F$11)*F$182),0)</f>
        <v>0</v>
      </c>
      <c r="G128" s="10">
        <f t="shared" si="101"/>
        <v>0</v>
      </c>
      <c r="H128" s="10">
        <f t="shared" si="101"/>
        <v>0</v>
      </c>
      <c r="I128" s="10">
        <f t="shared" si="101"/>
        <v>0</v>
      </c>
      <c r="J128" s="10">
        <f t="shared" si="101"/>
        <v>0</v>
      </c>
      <c r="K128" s="10">
        <f t="shared" si="101"/>
        <v>0</v>
      </c>
      <c r="L128" s="10">
        <f t="shared" si="101"/>
        <v>0</v>
      </c>
      <c r="M128" s="10">
        <f t="shared" si="101"/>
        <v>0</v>
      </c>
      <c r="N128" s="10">
        <f t="shared" si="101"/>
        <v>0</v>
      </c>
      <c r="O128" s="10">
        <f t="shared" si="101"/>
        <v>0</v>
      </c>
      <c r="P128" s="10">
        <f t="shared" si="101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0">
        <f t="shared" si="99"/>
        <v>0</v>
      </c>
      <c r="F129" s="10">
        <f t="shared" si="101"/>
        <v>0</v>
      </c>
      <c r="G129" s="10">
        <f t="shared" si="101"/>
        <v>0</v>
      </c>
      <c r="H129" s="10">
        <f t="shared" si="101"/>
        <v>0</v>
      </c>
      <c r="I129" s="10">
        <f t="shared" si="101"/>
        <v>0</v>
      </c>
      <c r="J129" s="10">
        <f t="shared" si="101"/>
        <v>0</v>
      </c>
      <c r="K129" s="10">
        <f t="shared" si="101"/>
        <v>0</v>
      </c>
      <c r="L129" s="10">
        <f t="shared" si="101"/>
        <v>0</v>
      </c>
      <c r="M129" s="10">
        <f t="shared" si="101"/>
        <v>0</v>
      </c>
      <c r="N129" s="10">
        <f t="shared" si="101"/>
        <v>0</v>
      </c>
      <c r="O129" s="10">
        <f t="shared" si="101"/>
        <v>0</v>
      </c>
      <c r="P129" s="10">
        <f t="shared" si="101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0">
        <f t="shared" si="99"/>
        <v>0</v>
      </c>
      <c r="F130" s="10">
        <f t="shared" si="101"/>
        <v>0</v>
      </c>
      <c r="G130" s="10">
        <f t="shared" si="101"/>
        <v>0</v>
      </c>
      <c r="H130" s="10">
        <f t="shared" si="101"/>
        <v>0</v>
      </c>
      <c r="I130" s="10">
        <f t="shared" si="101"/>
        <v>0</v>
      </c>
      <c r="J130" s="10">
        <f t="shared" si="101"/>
        <v>0</v>
      </c>
      <c r="K130" s="10">
        <f t="shared" si="101"/>
        <v>0</v>
      </c>
      <c r="L130" s="10">
        <f t="shared" si="101"/>
        <v>0</v>
      </c>
      <c r="M130" s="10">
        <f t="shared" si="101"/>
        <v>0</v>
      </c>
      <c r="N130" s="10">
        <f t="shared" si="101"/>
        <v>0</v>
      </c>
      <c r="O130" s="10">
        <f t="shared" si="101"/>
        <v>0</v>
      </c>
      <c r="P130" s="10">
        <f t="shared" si="101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0">
        <f t="shared" si="99"/>
        <v>0</v>
      </c>
      <c r="F131" s="10">
        <f t="shared" si="101"/>
        <v>0</v>
      </c>
      <c r="G131" s="10">
        <f t="shared" si="101"/>
        <v>0</v>
      </c>
      <c r="H131" s="10">
        <f t="shared" si="101"/>
        <v>0</v>
      </c>
      <c r="I131" s="10">
        <f t="shared" si="101"/>
        <v>0</v>
      </c>
      <c r="J131" s="10">
        <f t="shared" si="101"/>
        <v>0</v>
      </c>
      <c r="K131" s="10">
        <f t="shared" si="101"/>
        <v>0</v>
      </c>
      <c r="L131" s="10">
        <f t="shared" si="101"/>
        <v>0</v>
      </c>
      <c r="M131" s="10">
        <f t="shared" si="101"/>
        <v>0</v>
      </c>
      <c r="N131" s="10">
        <f t="shared" si="101"/>
        <v>0</v>
      </c>
      <c r="O131" s="10">
        <f t="shared" si="101"/>
        <v>0</v>
      </c>
      <c r="P131" s="10">
        <f t="shared" si="101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99"/>
        <v>0</v>
      </c>
      <c r="F132" s="11">
        <f t="shared" si="101"/>
        <v>0</v>
      </c>
      <c r="G132" s="11">
        <f t="shared" si="101"/>
        <v>0</v>
      </c>
      <c r="H132" s="11">
        <f t="shared" si="101"/>
        <v>0</v>
      </c>
      <c r="I132" s="11">
        <f t="shared" si="101"/>
        <v>0</v>
      </c>
      <c r="J132" s="11">
        <f t="shared" si="101"/>
        <v>0</v>
      </c>
      <c r="K132" s="11">
        <f t="shared" si="101"/>
        <v>0</v>
      </c>
      <c r="L132" s="11">
        <f t="shared" si="101"/>
        <v>0</v>
      </c>
      <c r="M132" s="11">
        <f t="shared" si="101"/>
        <v>0</v>
      </c>
      <c r="N132" s="11">
        <f t="shared" si="101"/>
        <v>0</v>
      </c>
      <c r="O132" s="11">
        <f t="shared" si="101"/>
        <v>0</v>
      </c>
      <c r="P132" s="11">
        <f t="shared" si="101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0">
        <f>SUM(E127:E132)</f>
        <v>3300</v>
      </c>
      <c r="F133" s="10">
        <f t="shared" ref="F133:P133" si="102">SUM(F127:F132)</f>
        <v>3433</v>
      </c>
      <c r="G133" s="10">
        <f t="shared" si="102"/>
        <v>3569</v>
      </c>
      <c r="H133" s="10">
        <f t="shared" si="102"/>
        <v>3708</v>
      </c>
      <c r="I133" s="10">
        <f t="shared" si="102"/>
        <v>3849</v>
      </c>
      <c r="J133" s="10">
        <f t="shared" si="102"/>
        <v>3993</v>
      </c>
      <c r="K133" s="10">
        <f t="shared" si="102"/>
        <v>4152</v>
      </c>
      <c r="L133" s="10">
        <f t="shared" si="102"/>
        <v>4314</v>
      </c>
      <c r="M133" s="10">
        <f t="shared" si="102"/>
        <v>4479</v>
      </c>
      <c r="N133" s="10">
        <f t="shared" si="102"/>
        <v>4647</v>
      </c>
      <c r="O133" s="10">
        <f t="shared" si="102"/>
        <v>4818</v>
      </c>
      <c r="P133" s="10">
        <f t="shared" si="102"/>
        <v>4992</v>
      </c>
    </row>
    <row r="134" spans="1:16" s="2" customFormat="1" x14ac:dyDescent="0.25">
      <c r="A134" s="2">
        <v>540</v>
      </c>
      <c r="B134" s="18" t="s">
        <v>79</v>
      </c>
      <c r="C134" s="297" t="s">
        <v>734</v>
      </c>
      <c r="D134" s="164">
        <v>0</v>
      </c>
      <c r="E134" s="107">
        <f>IF(E$182=0,0,$D134)+32000</f>
        <v>32000</v>
      </c>
      <c r="F134" s="107">
        <f t="shared" ref="F134:P134" si="103">IF(F$182=0,0,$D134)</f>
        <v>0</v>
      </c>
      <c r="G134" s="107">
        <f t="shared" si="103"/>
        <v>0</v>
      </c>
      <c r="H134" s="107">
        <f t="shared" si="103"/>
        <v>0</v>
      </c>
      <c r="I134" s="107">
        <f t="shared" si="103"/>
        <v>0</v>
      </c>
      <c r="J134" s="107">
        <f t="shared" si="103"/>
        <v>0</v>
      </c>
      <c r="K134" s="107">
        <f t="shared" si="103"/>
        <v>0</v>
      </c>
      <c r="L134" s="107">
        <f t="shared" si="103"/>
        <v>0</v>
      </c>
      <c r="M134" s="107">
        <f t="shared" si="103"/>
        <v>0</v>
      </c>
      <c r="N134" s="107">
        <f t="shared" si="103"/>
        <v>0</v>
      </c>
      <c r="O134" s="107">
        <f t="shared" si="103"/>
        <v>0</v>
      </c>
      <c r="P134" s="107">
        <f t="shared" si="103"/>
        <v>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50</v>
      </c>
      <c r="E135" s="154">
        <f t="shared" ref="E135:P137" si="104">IF(E$182=0,0,ROUND(($D135*(1+E$11))*E$182,0))</f>
        <v>15000</v>
      </c>
      <c r="F135" s="154">
        <f t="shared" si="104"/>
        <v>15606</v>
      </c>
      <c r="G135" s="154">
        <f t="shared" si="104"/>
        <v>16224</v>
      </c>
      <c r="H135" s="154">
        <f t="shared" si="104"/>
        <v>16854</v>
      </c>
      <c r="I135" s="154">
        <f t="shared" si="104"/>
        <v>17496</v>
      </c>
      <c r="J135" s="154">
        <f t="shared" si="104"/>
        <v>18150</v>
      </c>
      <c r="K135" s="154">
        <f t="shared" si="104"/>
        <v>18872</v>
      </c>
      <c r="L135" s="154">
        <f t="shared" si="104"/>
        <v>19608</v>
      </c>
      <c r="M135" s="154">
        <f t="shared" si="104"/>
        <v>20358</v>
      </c>
      <c r="N135" s="154">
        <f t="shared" si="104"/>
        <v>21122</v>
      </c>
      <c r="O135" s="154">
        <f t="shared" si="104"/>
        <v>21900</v>
      </c>
      <c r="P135" s="154">
        <f t="shared" si="104"/>
        <v>22692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746</v>
      </c>
      <c r="D136" s="85">
        <v>875</v>
      </c>
      <c r="E136" s="154">
        <f>IF(E$182=0,0,ROUND(($D136*(1+E$11))*E$182,0))</f>
        <v>262500</v>
      </c>
      <c r="F136" s="154">
        <f t="shared" si="104"/>
        <v>273105</v>
      </c>
      <c r="G136" s="154">
        <f t="shared" si="104"/>
        <v>283920</v>
      </c>
      <c r="H136" s="154">
        <f t="shared" si="104"/>
        <v>294945</v>
      </c>
      <c r="I136" s="154">
        <f t="shared" si="104"/>
        <v>306180</v>
      </c>
      <c r="J136" s="154">
        <f t="shared" si="104"/>
        <v>317625</v>
      </c>
      <c r="K136" s="154">
        <f t="shared" si="104"/>
        <v>330260</v>
      </c>
      <c r="L136" s="154">
        <f t="shared" si="104"/>
        <v>343140</v>
      </c>
      <c r="M136" s="154">
        <f t="shared" si="104"/>
        <v>356265</v>
      </c>
      <c r="N136" s="154">
        <f t="shared" si="104"/>
        <v>369635</v>
      </c>
      <c r="O136" s="154">
        <f t="shared" si="104"/>
        <v>383250</v>
      </c>
      <c r="P136" s="154">
        <f t="shared" si="104"/>
        <v>397110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747</v>
      </c>
      <c r="D137" s="85">
        <v>1175</v>
      </c>
      <c r="E137" s="11">
        <f>IF(E$182=0,0,ROUND(($D137*(1+E$11))*E$182,0))</f>
        <v>352500</v>
      </c>
      <c r="F137" s="11">
        <f t="shared" si="104"/>
        <v>366741</v>
      </c>
      <c r="G137" s="11">
        <f t="shared" si="104"/>
        <v>381264</v>
      </c>
      <c r="H137" s="11">
        <f t="shared" si="104"/>
        <v>396069</v>
      </c>
      <c r="I137" s="11">
        <f t="shared" si="104"/>
        <v>411156</v>
      </c>
      <c r="J137" s="11">
        <f t="shared" si="104"/>
        <v>426525</v>
      </c>
      <c r="K137" s="11">
        <f t="shared" si="104"/>
        <v>443492</v>
      </c>
      <c r="L137" s="11">
        <f t="shared" si="104"/>
        <v>460788</v>
      </c>
      <c r="M137" s="11">
        <f t="shared" si="104"/>
        <v>478413</v>
      </c>
      <c r="N137" s="11">
        <f t="shared" si="104"/>
        <v>496367</v>
      </c>
      <c r="O137" s="11">
        <f t="shared" si="104"/>
        <v>514650</v>
      </c>
      <c r="P137" s="11">
        <f t="shared" si="104"/>
        <v>533262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0">
        <f>SUM(E135:E137)</f>
        <v>630000</v>
      </c>
      <c r="F138" s="10">
        <f t="shared" ref="F138:P138" si="105">SUM(F135:F137)</f>
        <v>655452</v>
      </c>
      <c r="G138" s="10">
        <f t="shared" si="105"/>
        <v>681408</v>
      </c>
      <c r="H138" s="10">
        <f t="shared" si="105"/>
        <v>707868</v>
      </c>
      <c r="I138" s="10">
        <f t="shared" si="105"/>
        <v>734832</v>
      </c>
      <c r="J138" s="10">
        <f t="shared" si="105"/>
        <v>762300</v>
      </c>
      <c r="K138" s="10">
        <f t="shared" si="105"/>
        <v>792624</v>
      </c>
      <c r="L138" s="10">
        <f t="shared" si="105"/>
        <v>823536</v>
      </c>
      <c r="M138" s="10">
        <f t="shared" si="105"/>
        <v>855036</v>
      </c>
      <c r="N138" s="10">
        <f t="shared" si="105"/>
        <v>887124</v>
      </c>
      <c r="O138" s="10">
        <f t="shared" si="105"/>
        <v>919800</v>
      </c>
      <c r="P138" s="10">
        <f t="shared" si="105"/>
        <v>953064</v>
      </c>
    </row>
    <row r="139" spans="1:16" s="2" customFormat="1" x14ac:dyDescent="0.25">
      <c r="A139" s="2">
        <v>580</v>
      </c>
      <c r="B139" s="18" t="s">
        <v>289</v>
      </c>
      <c r="C139" s="202" t="s">
        <v>626</v>
      </c>
      <c r="D139" s="85">
        <v>500</v>
      </c>
      <c r="E139" s="10">
        <f>IF(E$182=0,0,ROUND(($D139*(1+E$11))*(E$205-E$202),0))</f>
        <v>1500</v>
      </c>
      <c r="F139" s="10">
        <f t="shared" ref="F139:P139" si="106">IF(F$182=0,0,ROUND(($D139*(1+F$11))*(F$205-F$202),0))</f>
        <v>1530</v>
      </c>
      <c r="G139" s="10">
        <f t="shared" si="106"/>
        <v>1560</v>
      </c>
      <c r="H139" s="10">
        <f t="shared" si="106"/>
        <v>1590</v>
      </c>
      <c r="I139" s="10">
        <f t="shared" si="106"/>
        <v>1620</v>
      </c>
      <c r="J139" s="10">
        <f t="shared" si="106"/>
        <v>1650</v>
      </c>
      <c r="K139" s="10">
        <f t="shared" si="106"/>
        <v>1680</v>
      </c>
      <c r="L139" s="10">
        <f t="shared" si="106"/>
        <v>1710</v>
      </c>
      <c r="M139" s="10">
        <f t="shared" si="106"/>
        <v>1740</v>
      </c>
      <c r="N139" s="10">
        <f t="shared" si="106"/>
        <v>1770</v>
      </c>
      <c r="O139" s="10">
        <f t="shared" si="106"/>
        <v>1800</v>
      </c>
      <c r="P139" s="10">
        <f t="shared" si="106"/>
        <v>1830</v>
      </c>
    </row>
    <row r="140" spans="1:16" s="2" customFormat="1" x14ac:dyDescent="0.25">
      <c r="A140" s="2">
        <v>610</v>
      </c>
      <c r="B140" s="18" t="s">
        <v>465</v>
      </c>
      <c r="C140" s="202" t="s">
        <v>628</v>
      </c>
      <c r="D140" s="85">
        <v>75</v>
      </c>
      <c r="E140" s="10">
        <f>IF(E$182=0,0,ROUND(($D140*(1+E$11))*(E$205-E$202)*12,0))</f>
        <v>2700</v>
      </c>
      <c r="F140" s="10">
        <f t="shared" ref="F140:P140" si="107">IF(F$182=0,0,ROUND(($D140*(1+F$11))*(F$205-F$202)*12,0))</f>
        <v>2754</v>
      </c>
      <c r="G140" s="10">
        <f t="shared" si="107"/>
        <v>2808</v>
      </c>
      <c r="H140" s="10">
        <f t="shared" si="107"/>
        <v>2862</v>
      </c>
      <c r="I140" s="10">
        <f t="shared" si="107"/>
        <v>2916</v>
      </c>
      <c r="J140" s="10">
        <f t="shared" si="107"/>
        <v>2970</v>
      </c>
      <c r="K140" s="10">
        <f t="shared" si="107"/>
        <v>3024</v>
      </c>
      <c r="L140" s="10">
        <f t="shared" si="107"/>
        <v>3078</v>
      </c>
      <c r="M140" s="10">
        <f t="shared" si="107"/>
        <v>3132</v>
      </c>
      <c r="N140" s="10">
        <f t="shared" si="107"/>
        <v>3186</v>
      </c>
      <c r="O140" s="10">
        <f t="shared" si="107"/>
        <v>3240</v>
      </c>
      <c r="P140" s="10">
        <f t="shared" si="107"/>
        <v>3294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700</v>
      </c>
      <c r="E141" s="10">
        <f t="shared" ref="E141:P141" si="108">IF(E$182=0,0,ROUND($D141*12*(1+E$11),0))</f>
        <v>8400</v>
      </c>
      <c r="F141" s="10">
        <f t="shared" si="108"/>
        <v>8568</v>
      </c>
      <c r="G141" s="10">
        <f t="shared" si="108"/>
        <v>8736</v>
      </c>
      <c r="H141" s="10">
        <f t="shared" si="108"/>
        <v>8904</v>
      </c>
      <c r="I141" s="10">
        <f t="shared" si="108"/>
        <v>9072</v>
      </c>
      <c r="J141" s="10">
        <f t="shared" si="108"/>
        <v>9240</v>
      </c>
      <c r="K141" s="10">
        <f t="shared" si="108"/>
        <v>9408</v>
      </c>
      <c r="L141" s="10">
        <f t="shared" si="108"/>
        <v>9576</v>
      </c>
      <c r="M141" s="10">
        <f t="shared" si="108"/>
        <v>9744</v>
      </c>
      <c r="N141" s="10">
        <f t="shared" si="108"/>
        <v>9912</v>
      </c>
      <c r="O141" s="10">
        <f t="shared" si="108"/>
        <v>10080</v>
      </c>
      <c r="P141" s="10">
        <f t="shared" si="108"/>
        <v>10248</v>
      </c>
    </row>
    <row r="142" spans="1:16" s="2" customFormat="1" hidden="1" outlineLevel="1" x14ac:dyDescent="0.25">
      <c r="A142" s="2">
        <v>641</v>
      </c>
      <c r="B142" s="18" t="s">
        <v>53</v>
      </c>
      <c r="C142" s="18" t="s">
        <v>586</v>
      </c>
      <c r="D142" s="85">
        <v>50</v>
      </c>
      <c r="E142" s="154">
        <f t="shared" ref="E142:P144" si="109">IF(E$182=0,0,ROUND(($D142*(1+E$11))*E$182,0))</f>
        <v>15000</v>
      </c>
      <c r="F142" s="154">
        <f t="shared" si="109"/>
        <v>15606</v>
      </c>
      <c r="G142" s="154">
        <f t="shared" si="109"/>
        <v>16224</v>
      </c>
      <c r="H142" s="154">
        <f t="shared" si="109"/>
        <v>16854</v>
      </c>
      <c r="I142" s="154">
        <f t="shared" si="109"/>
        <v>17496</v>
      </c>
      <c r="J142" s="154">
        <f t="shared" si="109"/>
        <v>18150</v>
      </c>
      <c r="K142" s="154">
        <f t="shared" si="109"/>
        <v>18872</v>
      </c>
      <c r="L142" s="154">
        <f t="shared" si="109"/>
        <v>19608</v>
      </c>
      <c r="M142" s="154">
        <f t="shared" si="109"/>
        <v>20358</v>
      </c>
      <c r="N142" s="154">
        <f t="shared" si="109"/>
        <v>21122</v>
      </c>
      <c r="O142" s="154">
        <f t="shared" si="109"/>
        <v>21900</v>
      </c>
      <c r="P142" s="154">
        <f t="shared" si="109"/>
        <v>22692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09"/>
        <v>9000</v>
      </c>
      <c r="F143" s="154">
        <f t="shared" si="109"/>
        <v>9364</v>
      </c>
      <c r="G143" s="154">
        <f t="shared" si="109"/>
        <v>9734</v>
      </c>
      <c r="H143" s="154">
        <f t="shared" si="109"/>
        <v>10112</v>
      </c>
      <c r="I143" s="154">
        <f t="shared" si="109"/>
        <v>10498</v>
      </c>
      <c r="J143" s="154">
        <f t="shared" si="109"/>
        <v>10890</v>
      </c>
      <c r="K143" s="154">
        <f t="shared" si="109"/>
        <v>11323</v>
      </c>
      <c r="L143" s="154">
        <f t="shared" si="109"/>
        <v>11765</v>
      </c>
      <c r="M143" s="154">
        <f t="shared" si="109"/>
        <v>12215</v>
      </c>
      <c r="N143" s="154">
        <f t="shared" si="109"/>
        <v>12673</v>
      </c>
      <c r="O143" s="154">
        <f t="shared" si="109"/>
        <v>13140</v>
      </c>
      <c r="P143" s="154">
        <f t="shared" si="109"/>
        <v>13615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09"/>
        <v>12000</v>
      </c>
      <c r="F144" s="11">
        <f t="shared" si="109"/>
        <v>12485</v>
      </c>
      <c r="G144" s="11">
        <f t="shared" si="109"/>
        <v>12979</v>
      </c>
      <c r="H144" s="11">
        <f t="shared" si="109"/>
        <v>13483</v>
      </c>
      <c r="I144" s="11">
        <f t="shared" si="109"/>
        <v>13997</v>
      </c>
      <c r="J144" s="11">
        <f t="shared" si="109"/>
        <v>14520</v>
      </c>
      <c r="K144" s="11">
        <f t="shared" si="109"/>
        <v>15098</v>
      </c>
      <c r="L144" s="11">
        <f t="shared" si="109"/>
        <v>15686</v>
      </c>
      <c r="M144" s="11">
        <f t="shared" si="109"/>
        <v>16286</v>
      </c>
      <c r="N144" s="11">
        <f t="shared" si="109"/>
        <v>16898</v>
      </c>
      <c r="O144" s="11">
        <f t="shared" si="109"/>
        <v>17520</v>
      </c>
      <c r="P144" s="11">
        <f t="shared" si="109"/>
        <v>18154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0">
        <f>SUM(E142:E144)</f>
        <v>36000</v>
      </c>
      <c r="F145" s="10">
        <f t="shared" ref="F145:P145" si="110">SUM(F142:F144)</f>
        <v>37455</v>
      </c>
      <c r="G145" s="10">
        <f t="shared" si="110"/>
        <v>38937</v>
      </c>
      <c r="H145" s="10">
        <f t="shared" si="110"/>
        <v>40449</v>
      </c>
      <c r="I145" s="10">
        <f t="shared" si="110"/>
        <v>41991</v>
      </c>
      <c r="J145" s="10">
        <f t="shared" si="110"/>
        <v>43560</v>
      </c>
      <c r="K145" s="10">
        <f t="shared" si="110"/>
        <v>45293</v>
      </c>
      <c r="L145" s="10">
        <f t="shared" si="110"/>
        <v>47059</v>
      </c>
      <c r="M145" s="10">
        <f t="shared" si="110"/>
        <v>48859</v>
      </c>
      <c r="N145" s="10">
        <f t="shared" si="110"/>
        <v>50693</v>
      </c>
      <c r="O145" s="10">
        <f t="shared" si="110"/>
        <v>52560</v>
      </c>
      <c r="P145" s="10">
        <f t="shared" si="110"/>
        <v>54461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0">
        <f t="shared" ref="E146:P147" si="111">IF(E$182=0,0,ROUND(($D146*E$182)*(1+E$11),0))</f>
        <v>30000</v>
      </c>
      <c r="F146" s="10">
        <f t="shared" si="111"/>
        <v>31212</v>
      </c>
      <c r="G146" s="10">
        <f t="shared" si="111"/>
        <v>32448</v>
      </c>
      <c r="H146" s="10">
        <f t="shared" si="111"/>
        <v>33708</v>
      </c>
      <c r="I146" s="10">
        <f t="shared" si="111"/>
        <v>34992</v>
      </c>
      <c r="J146" s="10">
        <f t="shared" si="111"/>
        <v>36300</v>
      </c>
      <c r="K146" s="10">
        <f t="shared" si="111"/>
        <v>37744</v>
      </c>
      <c r="L146" s="10">
        <f t="shared" si="111"/>
        <v>39216</v>
      </c>
      <c r="M146" s="10">
        <f t="shared" si="111"/>
        <v>40716</v>
      </c>
      <c r="N146" s="10">
        <f t="shared" si="111"/>
        <v>42244</v>
      </c>
      <c r="O146" s="10">
        <f t="shared" si="111"/>
        <v>43800</v>
      </c>
      <c r="P146" s="10">
        <f t="shared" si="111"/>
        <v>45384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1"/>
        <v>34500</v>
      </c>
      <c r="F147" s="11">
        <f t="shared" si="111"/>
        <v>35894</v>
      </c>
      <c r="G147" s="11">
        <f t="shared" si="111"/>
        <v>37315</v>
      </c>
      <c r="H147" s="11">
        <f t="shared" si="111"/>
        <v>38764</v>
      </c>
      <c r="I147" s="11">
        <f t="shared" si="111"/>
        <v>40241</v>
      </c>
      <c r="J147" s="11">
        <f t="shared" si="111"/>
        <v>41745</v>
      </c>
      <c r="K147" s="11">
        <f t="shared" si="111"/>
        <v>43406</v>
      </c>
      <c r="L147" s="11">
        <f t="shared" si="111"/>
        <v>45098</v>
      </c>
      <c r="M147" s="11">
        <f t="shared" si="111"/>
        <v>46823</v>
      </c>
      <c r="N147" s="11">
        <f t="shared" si="111"/>
        <v>48581</v>
      </c>
      <c r="O147" s="11">
        <f t="shared" si="111"/>
        <v>50370</v>
      </c>
      <c r="P147" s="11">
        <f t="shared" si="111"/>
        <v>52192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0">
        <f>SUM(E146:E147)</f>
        <v>64500</v>
      </c>
      <c r="F148" s="10">
        <f t="shared" ref="F148:P148" si="112">SUM(F146:F147)</f>
        <v>67106</v>
      </c>
      <c r="G148" s="10">
        <f t="shared" si="112"/>
        <v>69763</v>
      </c>
      <c r="H148" s="10">
        <f t="shared" si="112"/>
        <v>72472</v>
      </c>
      <c r="I148" s="10">
        <f t="shared" si="112"/>
        <v>75233</v>
      </c>
      <c r="J148" s="10">
        <f t="shared" si="112"/>
        <v>78045</v>
      </c>
      <c r="K148" s="10">
        <f t="shared" si="112"/>
        <v>81150</v>
      </c>
      <c r="L148" s="10">
        <f t="shared" si="112"/>
        <v>84314</v>
      </c>
      <c r="M148" s="10">
        <f t="shared" si="112"/>
        <v>87539</v>
      </c>
      <c r="N148" s="10">
        <f t="shared" si="112"/>
        <v>90825</v>
      </c>
      <c r="O148" s="10">
        <f t="shared" si="112"/>
        <v>94170</v>
      </c>
      <c r="P148" s="10">
        <f t="shared" si="112"/>
        <v>97576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07">
        <f>IF(E$182=0,0,($D149*12))</f>
        <v>0</v>
      </c>
      <c r="F149" s="107">
        <f t="shared" ref="F149:P151" si="113">IF(F$182=0,0,($D149*12))</f>
        <v>0</v>
      </c>
      <c r="G149" s="107">
        <f t="shared" si="113"/>
        <v>0</v>
      </c>
      <c r="H149" s="107">
        <f t="shared" si="113"/>
        <v>0</v>
      </c>
      <c r="I149" s="107">
        <f t="shared" si="113"/>
        <v>0</v>
      </c>
      <c r="J149" s="107">
        <f t="shared" si="113"/>
        <v>0</v>
      </c>
      <c r="K149" s="107">
        <f t="shared" si="113"/>
        <v>0</v>
      </c>
      <c r="L149" s="107">
        <f t="shared" si="113"/>
        <v>0</v>
      </c>
      <c r="M149" s="107">
        <f t="shared" si="113"/>
        <v>0</v>
      </c>
      <c r="N149" s="107">
        <f t="shared" si="113"/>
        <v>0</v>
      </c>
      <c r="O149" s="107">
        <f t="shared" si="113"/>
        <v>0</v>
      </c>
      <c r="P149" s="107">
        <f t="shared" si="113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07">
        <f>IF(E$182=0,0,($D150*12))</f>
        <v>0</v>
      </c>
      <c r="F150" s="107">
        <f t="shared" si="113"/>
        <v>0</v>
      </c>
      <c r="G150" s="107">
        <f t="shared" si="113"/>
        <v>0</v>
      </c>
      <c r="H150" s="107">
        <f t="shared" si="113"/>
        <v>0</v>
      </c>
      <c r="I150" s="107">
        <f t="shared" si="113"/>
        <v>0</v>
      </c>
      <c r="J150" s="107">
        <f t="shared" si="113"/>
        <v>0</v>
      </c>
      <c r="K150" s="107">
        <f t="shared" si="113"/>
        <v>0</v>
      </c>
      <c r="L150" s="107">
        <f t="shared" si="113"/>
        <v>0</v>
      </c>
      <c r="M150" s="107">
        <f t="shared" si="113"/>
        <v>0</v>
      </c>
      <c r="N150" s="107">
        <f t="shared" si="113"/>
        <v>0</v>
      </c>
      <c r="O150" s="107">
        <f t="shared" si="113"/>
        <v>0</v>
      </c>
      <c r="P150" s="107">
        <f t="shared" si="113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07">
        <f>IF(E$182=0,0,($D151*12))</f>
        <v>0</v>
      </c>
      <c r="F151" s="107">
        <f t="shared" si="113"/>
        <v>0</v>
      </c>
      <c r="G151" s="107">
        <f t="shared" si="113"/>
        <v>0</v>
      </c>
      <c r="H151" s="107">
        <f t="shared" si="113"/>
        <v>0</v>
      </c>
      <c r="I151" s="107">
        <f t="shared" si="113"/>
        <v>0</v>
      </c>
      <c r="J151" s="107">
        <f t="shared" si="113"/>
        <v>0</v>
      </c>
      <c r="K151" s="107">
        <f t="shared" si="113"/>
        <v>0</v>
      </c>
      <c r="L151" s="107">
        <f t="shared" si="113"/>
        <v>0</v>
      </c>
      <c r="M151" s="107">
        <f t="shared" si="113"/>
        <v>0</v>
      </c>
      <c r="N151" s="107">
        <f t="shared" si="113"/>
        <v>0</v>
      </c>
      <c r="O151" s="107">
        <f t="shared" si="113"/>
        <v>0</v>
      </c>
      <c r="P151" s="107">
        <f t="shared" si="113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07">
        <f t="shared" ref="E152:E159" si="114">IF(E$182=0,0,$D152)</f>
        <v>0</v>
      </c>
      <c r="F152" s="107">
        <f t="shared" ref="F152:P159" si="115">IF(F$182=0,0,$D152)</f>
        <v>0</v>
      </c>
      <c r="G152" s="107">
        <f t="shared" si="115"/>
        <v>0</v>
      </c>
      <c r="H152" s="107">
        <f t="shared" si="115"/>
        <v>0</v>
      </c>
      <c r="I152" s="107">
        <f t="shared" si="115"/>
        <v>0</v>
      </c>
      <c r="J152" s="107">
        <f t="shared" si="115"/>
        <v>0</v>
      </c>
      <c r="K152" s="107">
        <f t="shared" si="115"/>
        <v>0</v>
      </c>
      <c r="L152" s="107">
        <f t="shared" si="115"/>
        <v>0</v>
      </c>
      <c r="M152" s="107">
        <f t="shared" si="115"/>
        <v>0</v>
      </c>
      <c r="N152" s="107">
        <f t="shared" si="115"/>
        <v>0</v>
      </c>
      <c r="O152" s="107">
        <f t="shared" si="115"/>
        <v>0</v>
      </c>
      <c r="P152" s="107">
        <f t="shared" si="115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07">
        <f t="shared" si="114"/>
        <v>0</v>
      </c>
      <c r="F153" s="107">
        <f t="shared" si="115"/>
        <v>0</v>
      </c>
      <c r="G153" s="107">
        <f t="shared" si="115"/>
        <v>0</v>
      </c>
      <c r="H153" s="107">
        <f t="shared" si="115"/>
        <v>0</v>
      </c>
      <c r="I153" s="107">
        <f t="shared" si="115"/>
        <v>0</v>
      </c>
      <c r="J153" s="107">
        <f t="shared" si="115"/>
        <v>0</v>
      </c>
      <c r="K153" s="107">
        <f t="shared" si="115"/>
        <v>0</v>
      </c>
      <c r="L153" s="107">
        <f t="shared" si="115"/>
        <v>0</v>
      </c>
      <c r="M153" s="107">
        <f t="shared" si="115"/>
        <v>0</v>
      </c>
      <c r="N153" s="107">
        <f t="shared" si="115"/>
        <v>0</v>
      </c>
      <c r="O153" s="107">
        <f t="shared" si="115"/>
        <v>0</v>
      </c>
      <c r="P153" s="107">
        <f t="shared" si="115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07">
        <f t="shared" si="114"/>
        <v>0</v>
      </c>
      <c r="F154" s="107">
        <f t="shared" si="115"/>
        <v>0</v>
      </c>
      <c r="G154" s="107">
        <f t="shared" si="115"/>
        <v>0</v>
      </c>
      <c r="H154" s="107">
        <f t="shared" si="115"/>
        <v>0</v>
      </c>
      <c r="I154" s="107">
        <f t="shared" si="115"/>
        <v>0</v>
      </c>
      <c r="J154" s="107">
        <f t="shared" si="115"/>
        <v>0</v>
      </c>
      <c r="K154" s="107">
        <f t="shared" si="115"/>
        <v>0</v>
      </c>
      <c r="L154" s="107">
        <f t="shared" si="115"/>
        <v>0</v>
      </c>
      <c r="M154" s="107">
        <f t="shared" si="115"/>
        <v>0</v>
      </c>
      <c r="N154" s="107">
        <f t="shared" si="115"/>
        <v>0</v>
      </c>
      <c r="O154" s="107">
        <f t="shared" si="115"/>
        <v>0</v>
      </c>
      <c r="P154" s="107">
        <f t="shared" si="115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07">
        <f t="shared" si="114"/>
        <v>0</v>
      </c>
      <c r="F155" s="107">
        <f t="shared" si="115"/>
        <v>0</v>
      </c>
      <c r="G155" s="107">
        <f t="shared" si="115"/>
        <v>0</v>
      </c>
      <c r="H155" s="107">
        <f t="shared" si="115"/>
        <v>0</v>
      </c>
      <c r="I155" s="107">
        <f t="shared" si="115"/>
        <v>0</v>
      </c>
      <c r="J155" s="107">
        <f t="shared" si="115"/>
        <v>0</v>
      </c>
      <c r="K155" s="107">
        <f t="shared" si="115"/>
        <v>0</v>
      </c>
      <c r="L155" s="107">
        <f t="shared" si="115"/>
        <v>0</v>
      </c>
      <c r="M155" s="107">
        <f t="shared" si="115"/>
        <v>0</v>
      </c>
      <c r="N155" s="107">
        <f t="shared" si="115"/>
        <v>0</v>
      </c>
      <c r="O155" s="107">
        <f t="shared" si="115"/>
        <v>0</v>
      </c>
      <c r="P155" s="107">
        <f t="shared" si="115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07">
        <f t="shared" si="114"/>
        <v>0</v>
      </c>
      <c r="F156" s="107">
        <f t="shared" si="115"/>
        <v>0</v>
      </c>
      <c r="G156" s="107">
        <f t="shared" si="115"/>
        <v>0</v>
      </c>
      <c r="H156" s="107">
        <f t="shared" si="115"/>
        <v>0</v>
      </c>
      <c r="I156" s="107">
        <f t="shared" si="115"/>
        <v>0</v>
      </c>
      <c r="J156" s="107">
        <f t="shared" si="115"/>
        <v>0</v>
      </c>
      <c r="K156" s="107">
        <f t="shared" si="115"/>
        <v>0</v>
      </c>
      <c r="L156" s="107">
        <f t="shared" si="115"/>
        <v>0</v>
      </c>
      <c r="M156" s="107">
        <f t="shared" si="115"/>
        <v>0</v>
      </c>
      <c r="N156" s="107">
        <f t="shared" si="115"/>
        <v>0</v>
      </c>
      <c r="O156" s="107">
        <f t="shared" si="115"/>
        <v>0</v>
      </c>
      <c r="P156" s="107">
        <f t="shared" si="115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604</v>
      </c>
      <c r="D157" s="85">
        <v>0</v>
      </c>
      <c r="E157" s="107">
        <f t="shared" si="114"/>
        <v>0</v>
      </c>
      <c r="F157" s="107">
        <f t="shared" si="115"/>
        <v>0</v>
      </c>
      <c r="G157" s="107">
        <f t="shared" si="115"/>
        <v>0</v>
      </c>
      <c r="H157" s="107">
        <f t="shared" si="115"/>
        <v>0</v>
      </c>
      <c r="I157" s="107">
        <f t="shared" si="115"/>
        <v>0</v>
      </c>
      <c r="J157" s="107">
        <f t="shared" si="115"/>
        <v>0</v>
      </c>
      <c r="K157" s="107">
        <f t="shared" si="115"/>
        <v>0</v>
      </c>
      <c r="L157" s="107">
        <f t="shared" si="115"/>
        <v>0</v>
      </c>
      <c r="M157" s="107">
        <f t="shared" si="115"/>
        <v>0</v>
      </c>
      <c r="N157" s="107">
        <f t="shared" si="115"/>
        <v>0</v>
      </c>
      <c r="O157" s="107">
        <f t="shared" si="115"/>
        <v>0</v>
      </c>
      <c r="P157" s="107">
        <f t="shared" si="115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604</v>
      </c>
      <c r="D158" s="85">
        <v>0</v>
      </c>
      <c r="E158" s="107">
        <f t="shared" si="114"/>
        <v>0</v>
      </c>
      <c r="F158" s="107">
        <f t="shared" si="115"/>
        <v>0</v>
      </c>
      <c r="G158" s="107">
        <f t="shared" si="115"/>
        <v>0</v>
      </c>
      <c r="H158" s="107">
        <f t="shared" si="115"/>
        <v>0</v>
      </c>
      <c r="I158" s="107">
        <f t="shared" si="115"/>
        <v>0</v>
      </c>
      <c r="J158" s="107">
        <f t="shared" si="115"/>
        <v>0</v>
      </c>
      <c r="K158" s="107">
        <f t="shared" si="115"/>
        <v>0</v>
      </c>
      <c r="L158" s="107">
        <f t="shared" si="115"/>
        <v>0</v>
      </c>
      <c r="M158" s="107">
        <f t="shared" si="115"/>
        <v>0</v>
      </c>
      <c r="N158" s="107">
        <f t="shared" si="115"/>
        <v>0</v>
      </c>
      <c r="O158" s="107">
        <f t="shared" si="115"/>
        <v>0</v>
      </c>
      <c r="P158" s="107">
        <f t="shared" si="115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32">
        <f t="shared" si="114"/>
        <v>0</v>
      </c>
      <c r="F159" s="32">
        <f t="shared" si="115"/>
        <v>0</v>
      </c>
      <c r="G159" s="32">
        <f t="shared" si="115"/>
        <v>0</v>
      </c>
      <c r="H159" s="32">
        <f t="shared" si="115"/>
        <v>0</v>
      </c>
      <c r="I159" s="32">
        <f t="shared" si="115"/>
        <v>0</v>
      </c>
      <c r="J159" s="32">
        <f t="shared" si="115"/>
        <v>0</v>
      </c>
      <c r="K159" s="32">
        <f t="shared" si="115"/>
        <v>0</v>
      </c>
      <c r="L159" s="32">
        <f t="shared" si="115"/>
        <v>0</v>
      </c>
      <c r="M159" s="32">
        <f t="shared" si="115"/>
        <v>0</v>
      </c>
      <c r="N159" s="32">
        <f t="shared" si="115"/>
        <v>0</v>
      </c>
      <c r="O159" s="32">
        <f t="shared" si="115"/>
        <v>0</v>
      </c>
      <c r="P159" s="32">
        <f t="shared" si="115"/>
        <v>0</v>
      </c>
    </row>
    <row r="160" spans="1:16" s="2" customFormat="1" collapsed="1" x14ac:dyDescent="0.25">
      <c r="A160" s="2">
        <v>651</v>
      </c>
      <c r="B160" s="18" t="s">
        <v>469</v>
      </c>
      <c r="C160" s="62"/>
      <c r="D160" s="164"/>
      <c r="E160" s="10">
        <f>SUM(E149:E159)</f>
        <v>0</v>
      </c>
      <c r="F160" s="10">
        <f t="shared" ref="F160:P160" si="116">SUM(F149:F159)</f>
        <v>0</v>
      </c>
      <c r="G160" s="10">
        <f t="shared" si="116"/>
        <v>0</v>
      </c>
      <c r="H160" s="10">
        <f t="shared" si="116"/>
        <v>0</v>
      </c>
      <c r="I160" s="10">
        <f t="shared" si="116"/>
        <v>0</v>
      </c>
      <c r="J160" s="10">
        <f t="shared" si="116"/>
        <v>0</v>
      </c>
      <c r="K160" s="10">
        <f t="shared" si="116"/>
        <v>0</v>
      </c>
      <c r="L160" s="10">
        <f t="shared" si="116"/>
        <v>0</v>
      </c>
      <c r="M160" s="10">
        <f t="shared" si="116"/>
        <v>0</v>
      </c>
      <c r="N160" s="10">
        <f t="shared" si="116"/>
        <v>0</v>
      </c>
      <c r="O160" s="10">
        <f t="shared" si="116"/>
        <v>0</v>
      </c>
      <c r="P160" s="10">
        <f t="shared" si="116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62" t="s">
        <v>655</v>
      </c>
      <c r="D161" s="85">
        <v>500</v>
      </c>
      <c r="E161" s="107">
        <v>0</v>
      </c>
      <c r="F161" s="10">
        <f>IF(F$182=0,0,(ROUND(0.1*F182,0)*$D161))</f>
        <v>15500</v>
      </c>
      <c r="G161" s="107">
        <v>0</v>
      </c>
      <c r="H161" s="107">
        <v>0</v>
      </c>
      <c r="I161" s="107">
        <v>0</v>
      </c>
      <c r="J161" s="10">
        <f>IF(J$182=0,0,(ROUND(0.1*J182,0)*$D161))</f>
        <v>16500</v>
      </c>
      <c r="K161" s="107">
        <v>0</v>
      </c>
      <c r="L161" s="107">
        <v>0</v>
      </c>
      <c r="M161" s="107">
        <v>0</v>
      </c>
      <c r="N161" s="10">
        <f>IF(N$182=0,0,(ROUND(0.1*N182,0)*$D161))</f>
        <v>18000</v>
      </c>
      <c r="O161" s="107">
        <v>0</v>
      </c>
      <c r="P161" s="107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618</v>
      </c>
      <c r="D162" s="85">
        <v>5000</v>
      </c>
      <c r="E162" s="107">
        <v>0</v>
      </c>
      <c r="F162" s="107">
        <v>0</v>
      </c>
      <c r="G162" s="107">
        <v>0</v>
      </c>
      <c r="H162" s="107">
        <v>0</v>
      </c>
      <c r="I162" s="107">
        <f>IF(I$182=0,0,$D162)</f>
        <v>5000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f>IF(O$182=0,0,$D162)</f>
        <v>5000</v>
      </c>
      <c r="P162" s="107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619</v>
      </c>
      <c r="D163" s="85">
        <v>3000</v>
      </c>
      <c r="E163" s="32">
        <v>0</v>
      </c>
      <c r="F163" s="32">
        <v>0</v>
      </c>
      <c r="G163" s="32">
        <v>0</v>
      </c>
      <c r="H163" s="32">
        <f>IF(H$182=0,0,$D163)</f>
        <v>3000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f>IF(N$182=0,0,$D163)</f>
        <v>3000</v>
      </c>
      <c r="O163" s="32">
        <v>0</v>
      </c>
      <c r="P163" s="32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0">
        <f>SUM(E161:E163)</f>
        <v>0</v>
      </c>
      <c r="F164" s="10">
        <f t="shared" ref="F164:P164" si="117">SUM(F161:F163)</f>
        <v>15500</v>
      </c>
      <c r="G164" s="10">
        <f t="shared" si="117"/>
        <v>0</v>
      </c>
      <c r="H164" s="10">
        <f t="shared" si="117"/>
        <v>3000</v>
      </c>
      <c r="I164" s="10">
        <f t="shared" si="117"/>
        <v>5000</v>
      </c>
      <c r="J164" s="10">
        <f t="shared" si="117"/>
        <v>16500</v>
      </c>
      <c r="K164" s="10">
        <f t="shared" si="117"/>
        <v>0</v>
      </c>
      <c r="L164" s="10">
        <f t="shared" si="117"/>
        <v>0</v>
      </c>
      <c r="M164" s="10">
        <f t="shared" si="117"/>
        <v>0</v>
      </c>
      <c r="N164" s="10">
        <f t="shared" si="117"/>
        <v>21000</v>
      </c>
      <c r="O164" s="10">
        <f t="shared" si="117"/>
        <v>5000</v>
      </c>
      <c r="P164" s="10">
        <f t="shared" si="117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0">
        <f>IF(E$182=0,0,$D165*E$182)</f>
        <v>1500</v>
      </c>
      <c r="F165" s="10">
        <f t="shared" ref="F165:P166" si="118">IF(F$182=0,0,$D165*F$182)</f>
        <v>1530</v>
      </c>
      <c r="G165" s="10">
        <f t="shared" si="118"/>
        <v>1560</v>
      </c>
      <c r="H165" s="10">
        <f t="shared" si="118"/>
        <v>1590</v>
      </c>
      <c r="I165" s="10">
        <f t="shared" si="118"/>
        <v>1620</v>
      </c>
      <c r="J165" s="10">
        <f t="shared" si="118"/>
        <v>1650</v>
      </c>
      <c r="K165" s="10">
        <f t="shared" si="118"/>
        <v>1685</v>
      </c>
      <c r="L165" s="10">
        <f t="shared" si="118"/>
        <v>1720</v>
      </c>
      <c r="M165" s="10">
        <f t="shared" si="118"/>
        <v>1755</v>
      </c>
      <c r="N165" s="10">
        <f t="shared" si="118"/>
        <v>1790</v>
      </c>
      <c r="O165" s="10">
        <f t="shared" si="118"/>
        <v>1825</v>
      </c>
      <c r="P165" s="10">
        <f t="shared" si="118"/>
        <v>1860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0">
        <f>IF(E$182=0,0,$D166*E$182)</f>
        <v>1500</v>
      </c>
      <c r="F166" s="10">
        <f t="shared" si="118"/>
        <v>1530</v>
      </c>
      <c r="G166" s="10">
        <f t="shared" si="118"/>
        <v>1560</v>
      </c>
      <c r="H166" s="10">
        <f t="shared" si="118"/>
        <v>1590</v>
      </c>
      <c r="I166" s="10">
        <f t="shared" si="118"/>
        <v>1620</v>
      </c>
      <c r="J166" s="10">
        <f t="shared" si="118"/>
        <v>1650</v>
      </c>
      <c r="K166" s="10">
        <f t="shared" si="118"/>
        <v>1685</v>
      </c>
      <c r="L166" s="10">
        <f t="shared" si="118"/>
        <v>1720</v>
      </c>
      <c r="M166" s="10">
        <f t="shared" si="118"/>
        <v>1755</v>
      </c>
      <c r="N166" s="10">
        <f t="shared" si="118"/>
        <v>1790</v>
      </c>
      <c r="O166" s="10">
        <f t="shared" si="118"/>
        <v>1825</v>
      </c>
      <c r="P166" s="10">
        <f t="shared" si="118"/>
        <v>1860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07">
        <f>IF(E$182=0,0,$D167*10)</f>
        <v>50</v>
      </c>
      <c r="F167" s="107">
        <f t="shared" ref="F167:P167" si="119">IF(F$182=0,0,$D167*10)</f>
        <v>50</v>
      </c>
      <c r="G167" s="107">
        <f t="shared" si="119"/>
        <v>50</v>
      </c>
      <c r="H167" s="107">
        <f t="shared" si="119"/>
        <v>50</v>
      </c>
      <c r="I167" s="107">
        <f t="shared" si="119"/>
        <v>50</v>
      </c>
      <c r="J167" s="107">
        <f t="shared" si="119"/>
        <v>50</v>
      </c>
      <c r="K167" s="107">
        <f t="shared" si="119"/>
        <v>50</v>
      </c>
      <c r="L167" s="107">
        <f t="shared" si="119"/>
        <v>50</v>
      </c>
      <c r="M167" s="107">
        <f t="shared" si="119"/>
        <v>50</v>
      </c>
      <c r="N167" s="107">
        <f t="shared" si="119"/>
        <v>50</v>
      </c>
      <c r="O167" s="107">
        <f t="shared" si="119"/>
        <v>50</v>
      </c>
      <c r="P167" s="107">
        <f t="shared" si="119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07">
        <f>IF(E$182=0,0,$D168)</f>
        <v>0</v>
      </c>
      <c r="F168" s="107">
        <f t="shared" ref="F168:P170" si="120">IF(F$182=0,0,$D168)</f>
        <v>0</v>
      </c>
      <c r="G168" s="107">
        <f t="shared" si="120"/>
        <v>0</v>
      </c>
      <c r="H168" s="107">
        <f t="shared" si="120"/>
        <v>0</v>
      </c>
      <c r="I168" s="107">
        <f t="shared" si="120"/>
        <v>0</v>
      </c>
      <c r="J168" s="107">
        <f t="shared" si="120"/>
        <v>0</v>
      </c>
      <c r="K168" s="107">
        <f t="shared" si="120"/>
        <v>0</v>
      </c>
      <c r="L168" s="107">
        <f t="shared" si="120"/>
        <v>0</v>
      </c>
      <c r="M168" s="107">
        <f t="shared" si="120"/>
        <v>0</v>
      </c>
      <c r="N168" s="107">
        <f t="shared" si="120"/>
        <v>0</v>
      </c>
      <c r="O168" s="107">
        <f t="shared" si="120"/>
        <v>0</v>
      </c>
      <c r="P168" s="107">
        <f t="shared" si="120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07">
        <f>IF(E$182=0,0,$D169)</f>
        <v>0</v>
      </c>
      <c r="F169" s="107">
        <f t="shared" si="120"/>
        <v>0</v>
      </c>
      <c r="G169" s="107">
        <f t="shared" si="120"/>
        <v>0</v>
      </c>
      <c r="H169" s="107">
        <f t="shared" si="120"/>
        <v>0</v>
      </c>
      <c r="I169" s="107">
        <f t="shared" si="120"/>
        <v>0</v>
      </c>
      <c r="J169" s="107">
        <f t="shared" si="120"/>
        <v>0</v>
      </c>
      <c r="K169" s="107">
        <f t="shared" si="120"/>
        <v>0</v>
      </c>
      <c r="L169" s="107">
        <f t="shared" si="120"/>
        <v>0</v>
      </c>
      <c r="M169" s="107">
        <f t="shared" si="120"/>
        <v>0</v>
      </c>
      <c r="N169" s="107">
        <f t="shared" si="120"/>
        <v>0</v>
      </c>
      <c r="O169" s="107">
        <f t="shared" si="120"/>
        <v>0</v>
      </c>
      <c r="P169" s="107">
        <f t="shared" si="120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07">
        <f>IF(E$182=0,0,$D170)</f>
        <v>0</v>
      </c>
      <c r="F170" s="107">
        <f t="shared" si="120"/>
        <v>0</v>
      </c>
      <c r="G170" s="107">
        <f t="shared" si="120"/>
        <v>0</v>
      </c>
      <c r="H170" s="107">
        <f t="shared" si="120"/>
        <v>0</v>
      </c>
      <c r="I170" s="107">
        <f t="shared" si="120"/>
        <v>0</v>
      </c>
      <c r="J170" s="107">
        <f t="shared" si="120"/>
        <v>0</v>
      </c>
      <c r="K170" s="107">
        <f t="shared" si="120"/>
        <v>0</v>
      </c>
      <c r="L170" s="107">
        <f t="shared" si="120"/>
        <v>0</v>
      </c>
      <c r="M170" s="107">
        <f t="shared" si="120"/>
        <v>0</v>
      </c>
      <c r="N170" s="107">
        <f t="shared" si="120"/>
        <v>0</v>
      </c>
      <c r="O170" s="107">
        <f t="shared" si="120"/>
        <v>0</v>
      </c>
      <c r="P170" s="107">
        <f t="shared" si="120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07">
        <f>IF(E$182=0,0,($D171*12))</f>
        <v>0</v>
      </c>
      <c r="F171" s="107">
        <f t="shared" ref="F171:P171" si="121">IF(F$182=0,0,($D171*12))</f>
        <v>0</v>
      </c>
      <c r="G171" s="107">
        <f t="shared" si="121"/>
        <v>0</v>
      </c>
      <c r="H171" s="107">
        <f t="shared" si="121"/>
        <v>0</v>
      </c>
      <c r="I171" s="107">
        <f t="shared" si="121"/>
        <v>0</v>
      </c>
      <c r="J171" s="107">
        <f t="shared" si="121"/>
        <v>0</v>
      </c>
      <c r="K171" s="107">
        <f t="shared" si="121"/>
        <v>0</v>
      </c>
      <c r="L171" s="107">
        <f t="shared" si="121"/>
        <v>0</v>
      </c>
      <c r="M171" s="107">
        <f t="shared" si="121"/>
        <v>0</v>
      </c>
      <c r="N171" s="107">
        <f t="shared" si="121"/>
        <v>0</v>
      </c>
      <c r="O171" s="107">
        <f t="shared" si="121"/>
        <v>0</v>
      </c>
      <c r="P171" s="107">
        <f t="shared" si="121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622</v>
      </c>
      <c r="D172" s="85">
        <v>0</v>
      </c>
      <c r="E172" s="32">
        <f>IF(E$182=0,0,$D172)</f>
        <v>0</v>
      </c>
      <c r="F172" s="32">
        <f t="shared" ref="F172:P172" si="122">IF(F$182=0,0,$D172)</f>
        <v>0</v>
      </c>
      <c r="G172" s="32">
        <f t="shared" si="122"/>
        <v>0</v>
      </c>
      <c r="H172" s="32">
        <f t="shared" si="122"/>
        <v>0</v>
      </c>
      <c r="I172" s="32">
        <f t="shared" si="122"/>
        <v>0</v>
      </c>
      <c r="J172" s="32">
        <f t="shared" si="122"/>
        <v>0</v>
      </c>
      <c r="K172" s="32">
        <f t="shared" si="122"/>
        <v>0</v>
      </c>
      <c r="L172" s="32">
        <f t="shared" si="122"/>
        <v>0</v>
      </c>
      <c r="M172" s="32">
        <f t="shared" si="122"/>
        <v>0</v>
      </c>
      <c r="N172" s="32">
        <f t="shared" si="122"/>
        <v>0</v>
      </c>
      <c r="O172" s="32">
        <f t="shared" si="122"/>
        <v>0</v>
      </c>
      <c r="P172" s="32">
        <f t="shared" si="122"/>
        <v>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0">
        <f t="shared" ref="E173:P173" si="123">SUM(E165:E172)</f>
        <v>3050</v>
      </c>
      <c r="F173" s="10">
        <f t="shared" si="123"/>
        <v>3110</v>
      </c>
      <c r="G173" s="10">
        <f t="shared" si="123"/>
        <v>3170</v>
      </c>
      <c r="H173" s="10">
        <f t="shared" si="123"/>
        <v>3230</v>
      </c>
      <c r="I173" s="10">
        <f t="shared" si="123"/>
        <v>3290</v>
      </c>
      <c r="J173" s="10">
        <f t="shared" si="123"/>
        <v>3350</v>
      </c>
      <c r="K173" s="10">
        <f t="shared" si="123"/>
        <v>3420</v>
      </c>
      <c r="L173" s="10">
        <f t="shared" si="123"/>
        <v>3490</v>
      </c>
      <c r="M173" s="10">
        <f t="shared" si="123"/>
        <v>3560</v>
      </c>
      <c r="N173" s="10">
        <f t="shared" si="123"/>
        <v>3630</v>
      </c>
      <c r="O173" s="10">
        <f t="shared" si="123"/>
        <v>3700</v>
      </c>
      <c r="P173" s="10">
        <f t="shared" si="123"/>
        <v>3770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1284652.43484</v>
      </c>
      <c r="F176" s="183">
        <f>F175+F174+F173+F164+F160+F148+F145+F141+F140+F139+F138+F134+F133+F126+F120+F119+F118+F114+F109+F108+F105+F104+F102+F101+F96+F92+F84+F83+F82+F81+F55</f>
        <v>1308787.0323418002</v>
      </c>
      <c r="G176" s="183">
        <f t="shared" ref="G176:P176" si="124">G175+G174+G173+G164+G160+G148+G145+G141+G140+G139+G138+G134+G133+G126+G120+G119+G118+G114+G109+G108+G105+G104+G102+G101+G96+G92+G84+G83+G82+G81+G55</f>
        <v>1335769.63020635</v>
      </c>
      <c r="H176" s="183">
        <f t="shared" si="124"/>
        <v>1403165.2613249929</v>
      </c>
      <c r="I176" s="183">
        <f t="shared" si="124"/>
        <v>1449175.0432208674</v>
      </c>
      <c r="J176" s="183">
        <f t="shared" si="124"/>
        <v>1505916.2145593399</v>
      </c>
      <c r="K176" s="183">
        <f t="shared" si="124"/>
        <v>1537805.747989649</v>
      </c>
      <c r="L176" s="183">
        <f t="shared" si="124"/>
        <v>1587037.0020586185</v>
      </c>
      <c r="M176" s="183">
        <f t="shared" si="124"/>
        <v>1637115.0353764156</v>
      </c>
      <c r="N176" s="183">
        <f t="shared" si="124"/>
        <v>1709044.0254734408</v>
      </c>
      <c r="O176" s="183">
        <f t="shared" si="124"/>
        <v>1744827.272339595</v>
      </c>
      <c r="P176" s="183">
        <f t="shared" si="124"/>
        <v>1792470.2020694604</v>
      </c>
    </row>
    <row r="177" spans="1:16" s="2" customFormat="1" ht="15.75" thickBot="1" x14ac:dyDescent="0.3">
      <c r="A177" s="16" t="s">
        <v>217</v>
      </c>
      <c r="C177" s="155"/>
      <c r="E177" s="184">
        <f>E39-E176</f>
        <v>136417.56516</v>
      </c>
      <c r="F177" s="184">
        <f>F39-F176</f>
        <v>151575.55315819988</v>
      </c>
      <c r="G177" s="184">
        <f t="shared" ref="G177:P177" si="125">G39-G176</f>
        <v>164394.99438865017</v>
      </c>
      <c r="H177" s="184">
        <f t="shared" si="125"/>
        <v>137316.28755599796</v>
      </c>
      <c r="I177" s="184">
        <f t="shared" si="125"/>
        <v>132143.79955027043</v>
      </c>
      <c r="J177" s="184">
        <f t="shared" si="125"/>
        <v>116765.82942317263</v>
      </c>
      <c r="K177" s="184">
        <f t="shared" si="125"/>
        <v>131725.09348996496</v>
      </c>
      <c r="L177" s="184">
        <f t="shared" si="125"/>
        <v>129954.09301557927</v>
      </c>
      <c r="M177" s="184">
        <f t="shared" si="125"/>
        <v>127954.30598645145</v>
      </c>
      <c r="N177" s="184">
        <f t="shared" si="125"/>
        <v>104728.15512332763</v>
      </c>
      <c r="O177" s="184">
        <f t="shared" si="125"/>
        <v>118279.0049291316</v>
      </c>
      <c r="P177" s="184">
        <f t="shared" si="125"/>
        <v>120608.15863614529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6">E3</f>
        <v>FY 2018-2019</v>
      </c>
      <c r="F179" s="3" t="str">
        <f t="shared" si="126"/>
        <v>FY 2019-2020</v>
      </c>
      <c r="G179" s="3" t="str">
        <f t="shared" si="126"/>
        <v>FY 2020-2021</v>
      </c>
      <c r="H179" s="3" t="str">
        <f t="shared" si="126"/>
        <v>FY 2021-2022</v>
      </c>
      <c r="I179" s="3" t="str">
        <f t="shared" si="126"/>
        <v>FY 2022-2023</v>
      </c>
      <c r="J179" s="3" t="str">
        <f t="shared" si="126"/>
        <v>FY 2023-2024</v>
      </c>
      <c r="K179" s="3" t="str">
        <f t="shared" si="126"/>
        <v>FY 2024-2025</v>
      </c>
      <c r="L179" s="3" t="str">
        <f t="shared" si="126"/>
        <v>FY 2025-2026</v>
      </c>
      <c r="M179" s="3" t="str">
        <f t="shared" si="126"/>
        <v>FY 2026-2027</v>
      </c>
      <c r="N179" s="3" t="str">
        <f t="shared" si="126"/>
        <v>FY 2027-2028</v>
      </c>
      <c r="O179" s="3" t="str">
        <f t="shared" si="126"/>
        <v>FY 2027-2028</v>
      </c>
      <c r="P179" s="3" t="str">
        <f t="shared" si="126"/>
        <v>FY 2028-2029</v>
      </c>
    </row>
    <row r="180" spans="1:16" s="2" customFormat="1" x14ac:dyDescent="0.25">
      <c r="C180" s="2">
        <v>11</v>
      </c>
      <c r="E180" s="133">
        <f>Assumptions!E11</f>
        <v>170</v>
      </c>
      <c r="F180" s="133">
        <f>Assumptions!F11</f>
        <v>170</v>
      </c>
      <c r="G180" s="133">
        <f>Assumptions!G11</f>
        <v>170</v>
      </c>
      <c r="H180" s="133">
        <f>Assumptions!H11</f>
        <v>170</v>
      </c>
      <c r="I180" s="133">
        <f>Assumptions!I11</f>
        <v>180</v>
      </c>
      <c r="J180" s="133">
        <f>Assumptions!J11</f>
        <v>180</v>
      </c>
      <c r="K180" s="133">
        <f>Assumptions!K11</f>
        <v>190</v>
      </c>
      <c r="L180" s="133">
        <f>Assumptions!L11</f>
        <v>190</v>
      </c>
      <c r="M180" s="133">
        <f>Assumptions!M11</f>
        <v>190</v>
      </c>
      <c r="N180" s="133">
        <f>Assumptions!N11</f>
        <v>200</v>
      </c>
      <c r="O180" s="133">
        <f>Assumptions!O11</f>
        <v>200</v>
      </c>
      <c r="P180" s="133">
        <f>Assumptions!P11</f>
        <v>200</v>
      </c>
    </row>
    <row r="181" spans="1:16" s="2" customFormat="1" x14ac:dyDescent="0.25">
      <c r="C181" s="2">
        <v>12</v>
      </c>
      <c r="E181" s="197">
        <f>Assumptions!E12</f>
        <v>130</v>
      </c>
      <c r="F181" s="197">
        <f>Assumptions!F12</f>
        <v>136</v>
      </c>
      <c r="G181" s="197">
        <f>Assumptions!G12</f>
        <v>142</v>
      </c>
      <c r="H181" s="197">
        <f>Assumptions!H12</f>
        <v>148</v>
      </c>
      <c r="I181" s="197">
        <f>Assumptions!I12</f>
        <v>144</v>
      </c>
      <c r="J181" s="197">
        <f>Assumptions!J12</f>
        <v>150</v>
      </c>
      <c r="K181" s="197">
        <f>Assumptions!K12</f>
        <v>147</v>
      </c>
      <c r="L181" s="197">
        <f>Assumptions!L12</f>
        <v>154</v>
      </c>
      <c r="M181" s="197">
        <f>Assumptions!M12</f>
        <v>161</v>
      </c>
      <c r="N181" s="197">
        <f>Assumptions!N12</f>
        <v>158</v>
      </c>
      <c r="O181" s="197">
        <f>Assumptions!O12</f>
        <v>165</v>
      </c>
      <c r="P181" s="197">
        <f>Assumptions!P12</f>
        <v>172</v>
      </c>
    </row>
    <row r="182" spans="1:16" s="2" customFormat="1" x14ac:dyDescent="0.25">
      <c r="E182" s="113">
        <f t="shared" ref="E182:P182" si="127">SUM(E180:E181)</f>
        <v>300</v>
      </c>
      <c r="F182" s="113">
        <f t="shared" si="127"/>
        <v>306</v>
      </c>
      <c r="G182" s="113">
        <f t="shared" si="127"/>
        <v>312</v>
      </c>
      <c r="H182" s="113">
        <f t="shared" si="127"/>
        <v>318</v>
      </c>
      <c r="I182" s="113">
        <f t="shared" si="127"/>
        <v>324</v>
      </c>
      <c r="J182" s="113">
        <f t="shared" si="127"/>
        <v>330</v>
      </c>
      <c r="K182" s="113">
        <f t="shared" si="127"/>
        <v>337</v>
      </c>
      <c r="L182" s="113">
        <f t="shared" si="127"/>
        <v>344</v>
      </c>
      <c r="M182" s="113">
        <f t="shared" si="127"/>
        <v>351</v>
      </c>
      <c r="N182" s="113">
        <f t="shared" si="127"/>
        <v>358</v>
      </c>
      <c r="O182" s="113">
        <f t="shared" si="127"/>
        <v>365</v>
      </c>
      <c r="P182" s="113">
        <f t="shared" si="127"/>
        <v>372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6</v>
      </c>
      <c r="F185" s="2">
        <f t="shared" ref="F185:P185" si="128">ROUND(F182*$D185,0)</f>
        <v>6</v>
      </c>
      <c r="G185" s="2">
        <f t="shared" si="128"/>
        <v>6</v>
      </c>
      <c r="H185" s="2">
        <f t="shared" si="128"/>
        <v>6</v>
      </c>
      <c r="I185" s="2">
        <f t="shared" si="128"/>
        <v>6</v>
      </c>
      <c r="J185" s="2">
        <f t="shared" si="128"/>
        <v>7</v>
      </c>
      <c r="K185" s="2">
        <f t="shared" si="128"/>
        <v>7</v>
      </c>
      <c r="L185" s="2">
        <f t="shared" si="128"/>
        <v>7</v>
      </c>
      <c r="M185" s="2">
        <f t="shared" si="128"/>
        <v>7</v>
      </c>
      <c r="N185" s="2">
        <f t="shared" si="128"/>
        <v>7</v>
      </c>
      <c r="O185" s="2">
        <f t="shared" si="128"/>
        <v>7</v>
      </c>
      <c r="P185" s="2">
        <f t="shared" si="128"/>
        <v>7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29">E3</f>
        <v>FY 2018-2019</v>
      </c>
      <c r="F187" s="3" t="str">
        <f t="shared" si="129"/>
        <v>FY 2019-2020</v>
      </c>
      <c r="G187" s="3" t="str">
        <f t="shared" si="129"/>
        <v>FY 2020-2021</v>
      </c>
      <c r="H187" s="3" t="str">
        <f t="shared" si="129"/>
        <v>FY 2021-2022</v>
      </c>
      <c r="I187" s="3" t="str">
        <f t="shared" si="129"/>
        <v>FY 2022-2023</v>
      </c>
      <c r="J187" s="3" t="str">
        <f t="shared" si="129"/>
        <v>FY 2023-2024</v>
      </c>
      <c r="K187" s="3" t="str">
        <f t="shared" si="129"/>
        <v>FY 2024-2025</v>
      </c>
      <c r="L187" s="3" t="str">
        <f t="shared" si="129"/>
        <v>FY 2025-2026</v>
      </c>
      <c r="M187" s="3" t="str">
        <f t="shared" si="129"/>
        <v>FY 2026-2027</v>
      </c>
      <c r="N187" s="3" t="str">
        <f t="shared" si="129"/>
        <v>FY 2027-2028</v>
      </c>
      <c r="O187" s="3" t="str">
        <f t="shared" si="129"/>
        <v>FY 2027-2028</v>
      </c>
      <c r="P187" s="3" t="str">
        <f t="shared" si="129"/>
        <v>FY 2028-2029</v>
      </c>
    </row>
    <row r="188" spans="1:16" s="2" customFormat="1" x14ac:dyDescent="0.25">
      <c r="A188" s="2" t="s">
        <v>401</v>
      </c>
      <c r="B188" s="7" t="s">
        <v>410</v>
      </c>
      <c r="C188" s="219"/>
      <c r="D188" s="216"/>
      <c r="E188" s="175">
        <v>1</v>
      </c>
      <c r="F188" s="175">
        <v>1</v>
      </c>
      <c r="G188" s="175">
        <v>1</v>
      </c>
      <c r="H188" s="2">
        <f>G188</f>
        <v>1</v>
      </c>
      <c r="I188" s="2">
        <f t="shared" ref="I188:P192" si="130">H188</f>
        <v>1</v>
      </c>
      <c r="J188" s="2">
        <f t="shared" si="130"/>
        <v>1</v>
      </c>
      <c r="K188" s="2">
        <f t="shared" si="130"/>
        <v>1</v>
      </c>
      <c r="L188" s="2">
        <f t="shared" si="130"/>
        <v>1</v>
      </c>
      <c r="M188" s="2">
        <f t="shared" si="130"/>
        <v>1</v>
      </c>
      <c r="N188" s="2">
        <f t="shared" si="130"/>
        <v>1</v>
      </c>
      <c r="O188" s="2">
        <f t="shared" si="130"/>
        <v>1</v>
      </c>
      <c r="P188" s="2">
        <v>1</v>
      </c>
    </row>
    <row r="189" spans="1:16" s="2" customFormat="1" x14ac:dyDescent="0.25">
      <c r="A189" s="2" t="s">
        <v>404</v>
      </c>
      <c r="B189" s="7" t="s">
        <v>411</v>
      </c>
      <c r="C189" s="219"/>
      <c r="D189" s="216"/>
      <c r="E189" s="175">
        <v>1</v>
      </c>
      <c r="F189" s="175">
        <f>E189</f>
        <v>1</v>
      </c>
      <c r="G189" s="175">
        <f>F189</f>
        <v>1</v>
      </c>
      <c r="H189" s="175">
        <f>G189</f>
        <v>1</v>
      </c>
      <c r="I189" s="2">
        <f t="shared" si="130"/>
        <v>1</v>
      </c>
      <c r="J189" s="2">
        <f t="shared" si="130"/>
        <v>1</v>
      </c>
      <c r="K189" s="2">
        <f t="shared" si="130"/>
        <v>1</v>
      </c>
      <c r="L189" s="2">
        <f t="shared" si="130"/>
        <v>1</v>
      </c>
      <c r="M189" s="2">
        <f t="shared" si="130"/>
        <v>1</v>
      </c>
      <c r="N189" s="2">
        <f t="shared" si="130"/>
        <v>1</v>
      </c>
      <c r="O189" s="2">
        <f t="shared" si="130"/>
        <v>1</v>
      </c>
      <c r="P189" s="2">
        <f t="shared" si="130"/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175">
        <v>1</v>
      </c>
      <c r="F190" s="175">
        <v>1</v>
      </c>
      <c r="G190" s="175">
        <v>1</v>
      </c>
      <c r="H190" s="175">
        <v>1</v>
      </c>
      <c r="I190" s="2">
        <f t="shared" ref="I190:P190" si="131">H190</f>
        <v>1</v>
      </c>
      <c r="J190" s="2">
        <f t="shared" si="131"/>
        <v>1</v>
      </c>
      <c r="K190" s="2">
        <f t="shared" si="131"/>
        <v>1</v>
      </c>
      <c r="L190" s="2">
        <f t="shared" si="131"/>
        <v>1</v>
      </c>
      <c r="M190" s="2">
        <f t="shared" si="131"/>
        <v>1</v>
      </c>
      <c r="N190" s="2">
        <f t="shared" si="131"/>
        <v>1</v>
      </c>
      <c r="O190" s="2">
        <f t="shared" si="131"/>
        <v>1</v>
      </c>
      <c r="P190" s="2">
        <f t="shared" si="131"/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175">
        <v>1</v>
      </c>
      <c r="F191" s="175">
        <v>1</v>
      </c>
      <c r="G191" s="175">
        <v>1</v>
      </c>
      <c r="H191" s="2">
        <f t="shared" ref="H191:K195" si="132">G191</f>
        <v>1</v>
      </c>
      <c r="I191" s="2">
        <f t="shared" si="132"/>
        <v>1</v>
      </c>
      <c r="J191" s="2">
        <f t="shared" si="132"/>
        <v>1</v>
      </c>
      <c r="K191" s="2">
        <f t="shared" si="132"/>
        <v>1</v>
      </c>
      <c r="L191" s="2">
        <f t="shared" si="130"/>
        <v>1</v>
      </c>
      <c r="M191" s="2">
        <f t="shared" si="130"/>
        <v>1</v>
      </c>
      <c r="N191" s="2">
        <f t="shared" si="130"/>
        <v>1</v>
      </c>
      <c r="O191" s="2">
        <f t="shared" si="130"/>
        <v>1</v>
      </c>
      <c r="P191" s="2">
        <f t="shared" si="130"/>
        <v>1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175">
        <v>3</v>
      </c>
      <c r="F192" s="175">
        <v>3</v>
      </c>
      <c r="G192" s="175">
        <v>3</v>
      </c>
      <c r="H192" s="2">
        <f t="shared" si="132"/>
        <v>3</v>
      </c>
      <c r="I192" s="2">
        <f t="shared" si="132"/>
        <v>3</v>
      </c>
      <c r="J192" s="2">
        <f t="shared" si="132"/>
        <v>3</v>
      </c>
      <c r="K192" s="2">
        <f t="shared" si="132"/>
        <v>3</v>
      </c>
      <c r="L192" s="2">
        <f t="shared" si="130"/>
        <v>3</v>
      </c>
      <c r="M192" s="2">
        <f t="shared" si="130"/>
        <v>3</v>
      </c>
      <c r="N192" s="2">
        <f t="shared" si="130"/>
        <v>3</v>
      </c>
      <c r="O192" s="2">
        <f t="shared" si="130"/>
        <v>3</v>
      </c>
      <c r="P192" s="2">
        <f t="shared" si="130"/>
        <v>3</v>
      </c>
    </row>
    <row r="193" spans="1:16" s="2" customFormat="1" x14ac:dyDescent="0.25">
      <c r="B193" s="7" t="s">
        <v>397</v>
      </c>
      <c r="C193" s="219"/>
      <c r="D193" s="216"/>
      <c r="E193" s="175">
        <v>0</v>
      </c>
      <c r="F193" s="175">
        <v>0</v>
      </c>
      <c r="G193" s="175">
        <v>0</v>
      </c>
      <c r="H193" s="2">
        <f t="shared" si="132"/>
        <v>0</v>
      </c>
      <c r="I193" s="2">
        <f t="shared" si="132"/>
        <v>0</v>
      </c>
      <c r="J193" s="2">
        <f t="shared" si="132"/>
        <v>0</v>
      </c>
      <c r="K193" s="2">
        <f t="shared" si="132"/>
        <v>0</v>
      </c>
      <c r="L193" s="2">
        <f t="shared" ref="L193:P196" si="133">K193</f>
        <v>0</v>
      </c>
      <c r="M193" s="2">
        <f t="shared" si="133"/>
        <v>0</v>
      </c>
      <c r="N193" s="2">
        <f t="shared" si="133"/>
        <v>0</v>
      </c>
      <c r="O193" s="2">
        <f t="shared" si="133"/>
        <v>0</v>
      </c>
      <c r="P193" s="2">
        <f t="shared" si="133"/>
        <v>0</v>
      </c>
    </row>
    <row r="194" spans="1:16" s="2" customFormat="1" x14ac:dyDescent="0.25">
      <c r="B194" s="7" t="s">
        <v>398</v>
      </c>
      <c r="C194" s="219"/>
      <c r="D194" s="216"/>
      <c r="E194" s="175">
        <v>0</v>
      </c>
      <c r="F194" s="175">
        <v>0</v>
      </c>
      <c r="G194" s="175">
        <v>0</v>
      </c>
      <c r="H194" s="2">
        <f t="shared" si="132"/>
        <v>0</v>
      </c>
      <c r="I194" s="2">
        <f t="shared" si="132"/>
        <v>0</v>
      </c>
      <c r="J194" s="2">
        <f t="shared" si="132"/>
        <v>0</v>
      </c>
      <c r="K194" s="2">
        <f t="shared" si="132"/>
        <v>0</v>
      </c>
      <c r="L194" s="2">
        <f t="shared" si="133"/>
        <v>0</v>
      </c>
      <c r="M194" s="2">
        <f t="shared" si="133"/>
        <v>0</v>
      </c>
      <c r="N194" s="2">
        <f t="shared" si="133"/>
        <v>0</v>
      </c>
      <c r="O194" s="2">
        <f t="shared" si="133"/>
        <v>0</v>
      </c>
      <c r="P194" s="2">
        <f t="shared" si="133"/>
        <v>0</v>
      </c>
    </row>
    <row r="195" spans="1:16" s="2" customFormat="1" x14ac:dyDescent="0.25">
      <c r="B195" s="7" t="s">
        <v>399</v>
      </c>
      <c r="C195" s="219"/>
      <c r="D195" s="216"/>
      <c r="E195" s="185">
        <v>0</v>
      </c>
      <c r="F195" s="185">
        <v>0</v>
      </c>
      <c r="G195" s="185">
        <v>0</v>
      </c>
      <c r="H195" s="2">
        <f t="shared" si="132"/>
        <v>0</v>
      </c>
      <c r="I195" s="2">
        <f t="shared" si="132"/>
        <v>0</v>
      </c>
      <c r="J195" s="2">
        <f t="shared" si="132"/>
        <v>0</v>
      </c>
      <c r="K195" s="2">
        <f t="shared" si="132"/>
        <v>0</v>
      </c>
      <c r="L195" s="2">
        <f t="shared" si="133"/>
        <v>0</v>
      </c>
      <c r="M195" s="2">
        <f t="shared" si="133"/>
        <v>0</v>
      </c>
      <c r="N195" s="2">
        <f t="shared" si="133"/>
        <v>0</v>
      </c>
      <c r="O195" s="2">
        <f t="shared" si="133"/>
        <v>0</v>
      </c>
      <c r="P195" s="2">
        <f t="shared" si="133"/>
        <v>0</v>
      </c>
    </row>
    <row r="196" spans="1:16" s="2" customFormat="1" x14ac:dyDescent="0.25">
      <c r="B196" s="7" t="s">
        <v>400</v>
      </c>
      <c r="C196" s="219"/>
      <c r="D196" s="216"/>
      <c r="E196" s="186">
        <v>0</v>
      </c>
      <c r="F196" s="186">
        <v>0</v>
      </c>
      <c r="G196" s="186">
        <v>0</v>
      </c>
      <c r="H196" s="182">
        <f>G196</f>
        <v>0</v>
      </c>
      <c r="I196" s="182">
        <f>H196</f>
        <v>0</v>
      </c>
      <c r="J196" s="182">
        <f>I196</f>
        <v>0</v>
      </c>
      <c r="K196" s="182">
        <f>J196</f>
        <v>0</v>
      </c>
      <c r="L196" s="182">
        <f t="shared" si="133"/>
        <v>0</v>
      </c>
      <c r="M196" s="182">
        <f t="shared" si="133"/>
        <v>0</v>
      </c>
      <c r="N196" s="182">
        <f t="shared" si="133"/>
        <v>0</v>
      </c>
      <c r="O196" s="182">
        <f t="shared" si="133"/>
        <v>0</v>
      </c>
      <c r="P196" s="182">
        <f t="shared" si="133"/>
        <v>0</v>
      </c>
    </row>
    <row r="197" spans="1:16" s="23" customFormat="1" x14ac:dyDescent="0.25">
      <c r="C197" s="78"/>
      <c r="D197" s="78"/>
      <c r="E197" s="23">
        <f>SUM(E188:E195)</f>
        <v>7</v>
      </c>
      <c r="F197" s="23">
        <f t="shared" ref="F197:P197" si="134">SUM(F188:F195)</f>
        <v>7</v>
      </c>
      <c r="G197" s="23">
        <f t="shared" si="134"/>
        <v>7</v>
      </c>
      <c r="H197" s="23">
        <f t="shared" si="134"/>
        <v>7</v>
      </c>
      <c r="I197" s="23">
        <f t="shared" si="134"/>
        <v>7</v>
      </c>
      <c r="J197" s="23">
        <f t="shared" si="134"/>
        <v>7</v>
      </c>
      <c r="K197" s="23">
        <f t="shared" si="134"/>
        <v>7</v>
      </c>
      <c r="L197" s="23">
        <f t="shared" si="134"/>
        <v>7</v>
      </c>
      <c r="M197" s="23">
        <f t="shared" si="134"/>
        <v>7</v>
      </c>
      <c r="N197" s="23">
        <f t="shared" si="134"/>
        <v>7</v>
      </c>
      <c r="O197" s="23">
        <f t="shared" si="134"/>
        <v>7</v>
      </c>
      <c r="P197" s="23">
        <f t="shared" si="134"/>
        <v>7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1</v>
      </c>
      <c r="F199" s="191">
        <f t="shared" ref="F199:P199" si="135">SUMIFS(F$188:F$195,$A$188:$A$195,$A188)</f>
        <v>1</v>
      </c>
      <c r="G199" s="191">
        <f t="shared" si="135"/>
        <v>1</v>
      </c>
      <c r="H199" s="191">
        <f t="shared" si="135"/>
        <v>1</v>
      </c>
      <c r="I199" s="191">
        <f t="shared" si="135"/>
        <v>1</v>
      </c>
      <c r="J199" s="191">
        <f t="shared" si="135"/>
        <v>1</v>
      </c>
      <c r="K199" s="191">
        <f t="shared" si="135"/>
        <v>1</v>
      </c>
      <c r="L199" s="191">
        <f t="shared" si="135"/>
        <v>1</v>
      </c>
      <c r="M199" s="191">
        <f t="shared" si="135"/>
        <v>1</v>
      </c>
      <c r="N199" s="191">
        <f t="shared" si="135"/>
        <v>1</v>
      </c>
      <c r="O199" s="191">
        <f t="shared" si="135"/>
        <v>1</v>
      </c>
      <c r="P199" s="191">
        <f t="shared" si="135"/>
        <v>1</v>
      </c>
    </row>
    <row r="200" spans="1:16" s="23" customFormat="1" x14ac:dyDescent="0.25">
      <c r="A200" s="7" t="s">
        <v>9</v>
      </c>
      <c r="B200" s="25"/>
      <c r="E200" s="23">
        <f>SUM(E199:E199)</f>
        <v>1</v>
      </c>
      <c r="F200" s="23">
        <f t="shared" ref="F200:P200" si="136">SUM(F199:F199)</f>
        <v>1</v>
      </c>
      <c r="G200" s="23">
        <f t="shared" si="136"/>
        <v>1</v>
      </c>
      <c r="H200" s="23">
        <f t="shared" si="136"/>
        <v>1</v>
      </c>
      <c r="I200" s="23">
        <f t="shared" si="136"/>
        <v>1</v>
      </c>
      <c r="J200" s="23">
        <f t="shared" si="136"/>
        <v>1</v>
      </c>
      <c r="K200" s="23">
        <f t="shared" si="136"/>
        <v>1</v>
      </c>
      <c r="L200" s="23">
        <f t="shared" si="136"/>
        <v>1</v>
      </c>
      <c r="M200" s="23">
        <f t="shared" si="136"/>
        <v>1</v>
      </c>
      <c r="N200" s="23">
        <f t="shared" si="136"/>
        <v>1</v>
      </c>
      <c r="O200" s="23">
        <f t="shared" si="136"/>
        <v>1</v>
      </c>
      <c r="P200" s="23">
        <f t="shared" si="136"/>
        <v>1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4</v>
      </c>
      <c r="F202" s="17">
        <f t="shared" ref="F202:P202" si="137">SUMIFS(F188:F196,$A188:$A196,$A191)</f>
        <v>4</v>
      </c>
      <c r="G202" s="17">
        <f t="shared" si="137"/>
        <v>4</v>
      </c>
      <c r="H202" s="17">
        <f t="shared" si="137"/>
        <v>4</v>
      </c>
      <c r="I202" s="17">
        <f t="shared" si="137"/>
        <v>4</v>
      </c>
      <c r="J202" s="17">
        <f t="shared" si="137"/>
        <v>4</v>
      </c>
      <c r="K202" s="17">
        <f t="shared" si="137"/>
        <v>4</v>
      </c>
      <c r="L202" s="17">
        <f t="shared" si="137"/>
        <v>4</v>
      </c>
      <c r="M202" s="17">
        <f t="shared" si="137"/>
        <v>4</v>
      </c>
      <c r="N202" s="17">
        <f t="shared" si="137"/>
        <v>4</v>
      </c>
      <c r="O202" s="17">
        <f t="shared" si="137"/>
        <v>4</v>
      </c>
      <c r="P202" s="17">
        <f t="shared" si="137"/>
        <v>4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1</v>
      </c>
      <c r="F203" s="17">
        <f t="shared" ref="F203:P203" si="138">SUMIFS(F189:F197,$A189:$A197,$A189)</f>
        <v>1</v>
      </c>
      <c r="G203" s="17">
        <f t="shared" si="138"/>
        <v>1</v>
      </c>
      <c r="H203" s="17">
        <f t="shared" si="138"/>
        <v>1</v>
      </c>
      <c r="I203" s="17">
        <f t="shared" si="138"/>
        <v>1</v>
      </c>
      <c r="J203" s="17">
        <f t="shared" si="138"/>
        <v>1</v>
      </c>
      <c r="K203" s="17">
        <f t="shared" si="138"/>
        <v>1</v>
      </c>
      <c r="L203" s="17">
        <f t="shared" si="138"/>
        <v>1</v>
      </c>
      <c r="M203" s="17">
        <f t="shared" si="138"/>
        <v>1</v>
      </c>
      <c r="N203" s="17">
        <f t="shared" si="138"/>
        <v>1</v>
      </c>
      <c r="O203" s="17">
        <f t="shared" si="138"/>
        <v>1</v>
      </c>
      <c r="P203" s="17">
        <f t="shared" si="138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1</v>
      </c>
      <c r="F204" s="119">
        <f t="shared" ref="F204:P204" si="139">F197-F200-F202-F203</f>
        <v>1</v>
      </c>
      <c r="G204" s="119">
        <f t="shared" si="139"/>
        <v>1</v>
      </c>
      <c r="H204" s="119">
        <f t="shared" si="139"/>
        <v>1</v>
      </c>
      <c r="I204" s="119">
        <f t="shared" si="139"/>
        <v>1</v>
      </c>
      <c r="J204" s="119">
        <f t="shared" si="139"/>
        <v>1</v>
      </c>
      <c r="K204" s="119">
        <f t="shared" si="139"/>
        <v>1</v>
      </c>
      <c r="L204" s="119">
        <f t="shared" si="139"/>
        <v>1</v>
      </c>
      <c r="M204" s="119">
        <f t="shared" si="139"/>
        <v>1</v>
      </c>
      <c r="N204" s="119">
        <f t="shared" si="139"/>
        <v>1</v>
      </c>
      <c r="O204" s="119">
        <f t="shared" si="139"/>
        <v>1</v>
      </c>
      <c r="P204" s="119">
        <f t="shared" si="139"/>
        <v>1</v>
      </c>
    </row>
    <row r="205" spans="1:16" s="2" customFormat="1" x14ac:dyDescent="0.25">
      <c r="A205" s="8" t="s">
        <v>11</v>
      </c>
      <c r="E205" s="17">
        <f>SUM(E200:E204)</f>
        <v>7</v>
      </c>
      <c r="F205" s="17">
        <f t="shared" ref="F205:P205" si="140">SUM(F200:F204)</f>
        <v>7</v>
      </c>
      <c r="G205" s="17">
        <f t="shared" si="140"/>
        <v>7</v>
      </c>
      <c r="H205" s="17">
        <f t="shared" si="140"/>
        <v>7</v>
      </c>
      <c r="I205" s="17">
        <f t="shared" si="140"/>
        <v>7</v>
      </c>
      <c r="J205" s="17">
        <f t="shared" si="140"/>
        <v>7</v>
      </c>
      <c r="K205" s="17">
        <f t="shared" si="140"/>
        <v>7</v>
      </c>
      <c r="L205" s="17">
        <f t="shared" si="140"/>
        <v>7</v>
      </c>
      <c r="M205" s="17">
        <f t="shared" si="140"/>
        <v>7</v>
      </c>
      <c r="N205" s="17">
        <f t="shared" si="140"/>
        <v>7</v>
      </c>
      <c r="O205" s="17">
        <f t="shared" si="140"/>
        <v>7</v>
      </c>
      <c r="P205" s="17">
        <f t="shared" si="140"/>
        <v>7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19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1" si="141">A188</f>
        <v>6111EE</v>
      </c>
      <c r="B209" s="2" t="str">
        <f t="shared" si="141"/>
        <v>Educational Advising Coordinator (PERS = EE)</v>
      </c>
      <c r="C209" s="6"/>
      <c r="D209" s="85">
        <v>60000</v>
      </c>
      <c r="E209" s="10">
        <f t="shared" ref="E209:E217" si="142">E188*$D209*(1+E$5)</f>
        <v>60000</v>
      </c>
      <c r="F209" s="10">
        <f t="shared" ref="F209:P209" si="143">F188*$D209*(1+F$5)</f>
        <v>61200</v>
      </c>
      <c r="G209" s="10">
        <f t="shared" si="143"/>
        <v>62400</v>
      </c>
      <c r="H209" s="10">
        <f t="shared" si="143"/>
        <v>63600</v>
      </c>
      <c r="I209" s="10">
        <f t="shared" si="143"/>
        <v>64800.000000000007</v>
      </c>
      <c r="J209" s="10">
        <f t="shared" si="143"/>
        <v>66000</v>
      </c>
      <c r="K209" s="10">
        <f t="shared" si="143"/>
        <v>67200</v>
      </c>
      <c r="L209" s="10">
        <f t="shared" si="143"/>
        <v>68400.000000000015</v>
      </c>
      <c r="M209" s="10">
        <f t="shared" si="143"/>
        <v>69600</v>
      </c>
      <c r="N209" s="10">
        <f t="shared" si="143"/>
        <v>70800</v>
      </c>
      <c r="O209" s="10">
        <f t="shared" si="143"/>
        <v>72000</v>
      </c>
      <c r="P209" s="10">
        <f t="shared" si="143"/>
        <v>73200</v>
      </c>
    </row>
    <row r="210" spans="1:17" s="2" customFormat="1" x14ac:dyDescent="0.25">
      <c r="A210" s="2" t="str">
        <f>A189</f>
        <v>6114ER</v>
      </c>
      <c r="B210" s="2" t="str">
        <f t="shared" si="141"/>
        <v>Director of Site Administration (PERS = ER)</v>
      </c>
      <c r="C210" s="6"/>
      <c r="D210" s="85">
        <v>85000</v>
      </c>
      <c r="E210" s="10">
        <f t="shared" si="142"/>
        <v>85000</v>
      </c>
      <c r="F210" s="10">
        <f t="shared" ref="F210:P210" si="144">F189*$D210*(1+F$5)</f>
        <v>86700</v>
      </c>
      <c r="G210" s="10">
        <f t="shared" si="144"/>
        <v>88400</v>
      </c>
      <c r="H210" s="10">
        <f t="shared" si="144"/>
        <v>90100</v>
      </c>
      <c r="I210" s="10">
        <f t="shared" si="144"/>
        <v>91800</v>
      </c>
      <c r="J210" s="10">
        <f t="shared" si="144"/>
        <v>93500.000000000015</v>
      </c>
      <c r="K210" s="10">
        <f t="shared" si="144"/>
        <v>95200.000000000015</v>
      </c>
      <c r="L210" s="10">
        <f t="shared" si="144"/>
        <v>96900.000000000015</v>
      </c>
      <c r="M210" s="10">
        <f t="shared" si="144"/>
        <v>98600</v>
      </c>
      <c r="N210" s="10">
        <f t="shared" si="144"/>
        <v>100300</v>
      </c>
      <c r="O210" s="10">
        <f t="shared" si="144"/>
        <v>102000</v>
      </c>
      <c r="P210" s="10">
        <f t="shared" si="144"/>
        <v>103700</v>
      </c>
    </row>
    <row r="211" spans="1:17" s="2" customFormat="1" x14ac:dyDescent="0.25">
      <c r="A211" s="2" t="str">
        <f t="shared" si="141"/>
        <v>6117EE</v>
      </c>
      <c r="B211" s="2" t="str">
        <f>B190</f>
        <v>Office Manager (PERS = EE)</v>
      </c>
      <c r="C211" s="6"/>
      <c r="D211" s="85">
        <v>40000</v>
      </c>
      <c r="E211" s="10">
        <f t="shared" si="142"/>
        <v>40000</v>
      </c>
      <c r="F211" s="10">
        <f t="shared" ref="F211:P211" si="145">F190*$D211*(1+F$5)</f>
        <v>40800</v>
      </c>
      <c r="G211" s="10">
        <f t="shared" si="145"/>
        <v>41600</v>
      </c>
      <c r="H211" s="10">
        <f t="shared" si="145"/>
        <v>42400</v>
      </c>
      <c r="I211" s="10">
        <f t="shared" si="145"/>
        <v>43200</v>
      </c>
      <c r="J211" s="10">
        <f t="shared" si="145"/>
        <v>44000</v>
      </c>
      <c r="K211" s="10">
        <f t="shared" si="145"/>
        <v>44800.000000000007</v>
      </c>
      <c r="L211" s="10">
        <f t="shared" si="145"/>
        <v>45600.000000000007</v>
      </c>
      <c r="M211" s="10">
        <f t="shared" si="145"/>
        <v>46400</v>
      </c>
      <c r="N211" s="10">
        <f t="shared" si="145"/>
        <v>47200</v>
      </c>
      <c r="O211" s="10">
        <f t="shared" si="145"/>
        <v>48000</v>
      </c>
      <c r="P211" s="10">
        <f t="shared" si="145"/>
        <v>48800</v>
      </c>
    </row>
    <row r="212" spans="1:17" s="2" customFormat="1" x14ac:dyDescent="0.25">
      <c r="A212" s="2">
        <f t="shared" ref="A212:B217" si="146">A191</f>
        <v>6127</v>
      </c>
      <c r="B212" s="2" t="str">
        <f t="shared" si="146"/>
        <v>Student Worker #1</v>
      </c>
      <c r="C212" s="164" t="s">
        <v>695</v>
      </c>
      <c r="D212" s="85">
        <v>20000</v>
      </c>
      <c r="E212" s="10">
        <f t="shared" si="142"/>
        <v>20000</v>
      </c>
      <c r="F212" s="10">
        <f t="shared" ref="F212:P212" si="147">F191*$D212*(1+F$5)</f>
        <v>20400</v>
      </c>
      <c r="G212" s="10">
        <f t="shared" si="147"/>
        <v>20800</v>
      </c>
      <c r="H212" s="10">
        <f t="shared" si="147"/>
        <v>21200</v>
      </c>
      <c r="I212" s="10">
        <f t="shared" si="147"/>
        <v>21600</v>
      </c>
      <c r="J212" s="10">
        <f t="shared" si="147"/>
        <v>22000</v>
      </c>
      <c r="K212" s="10">
        <f t="shared" si="147"/>
        <v>22400.000000000004</v>
      </c>
      <c r="L212" s="10">
        <f t="shared" si="147"/>
        <v>22800.000000000004</v>
      </c>
      <c r="M212" s="10">
        <f t="shared" si="147"/>
        <v>23200</v>
      </c>
      <c r="N212" s="10">
        <f t="shared" si="147"/>
        <v>23600</v>
      </c>
      <c r="O212" s="10">
        <f t="shared" si="147"/>
        <v>24000</v>
      </c>
      <c r="P212" s="10">
        <f t="shared" si="147"/>
        <v>24400</v>
      </c>
    </row>
    <row r="213" spans="1:17" s="2" customFormat="1" x14ac:dyDescent="0.25">
      <c r="A213" s="2">
        <f t="shared" si="146"/>
        <v>6127</v>
      </c>
      <c r="B213" s="2" t="str">
        <f t="shared" si="146"/>
        <v>Student Worker #2</v>
      </c>
      <c r="C213" s="164" t="s">
        <v>559</v>
      </c>
      <c r="D213" s="85">
        <v>11000</v>
      </c>
      <c r="E213" s="10">
        <f t="shared" si="142"/>
        <v>33000</v>
      </c>
      <c r="F213" s="10">
        <f t="shared" ref="F213:P213" si="148">F192*$D213*(1+F$5)</f>
        <v>33660</v>
      </c>
      <c r="G213" s="10">
        <f t="shared" si="148"/>
        <v>34320</v>
      </c>
      <c r="H213" s="10">
        <f t="shared" si="148"/>
        <v>34980</v>
      </c>
      <c r="I213" s="10">
        <f t="shared" si="148"/>
        <v>35640</v>
      </c>
      <c r="J213" s="10">
        <f t="shared" si="148"/>
        <v>36300</v>
      </c>
      <c r="K213" s="10">
        <f t="shared" si="148"/>
        <v>36960</v>
      </c>
      <c r="L213" s="10">
        <f t="shared" si="148"/>
        <v>37620.000000000007</v>
      </c>
      <c r="M213" s="10">
        <f t="shared" si="148"/>
        <v>38280</v>
      </c>
      <c r="N213" s="10">
        <f t="shared" si="148"/>
        <v>38940</v>
      </c>
      <c r="O213" s="10">
        <f t="shared" si="148"/>
        <v>39600</v>
      </c>
      <c r="P213" s="10">
        <f t="shared" si="148"/>
        <v>40260</v>
      </c>
    </row>
    <row r="214" spans="1:17" x14ac:dyDescent="0.25">
      <c r="A214">
        <f t="shared" si="146"/>
        <v>0</v>
      </c>
      <c r="B214" t="str">
        <f t="shared" si="146"/>
        <v>Open_01</v>
      </c>
      <c r="C214" s="6"/>
      <c r="D214" s="85">
        <v>0</v>
      </c>
      <c r="E214" s="48">
        <f t="shared" si="142"/>
        <v>0</v>
      </c>
      <c r="F214" s="48">
        <f t="shared" ref="F214:P214" si="149">F193*$D214*(1+F$5)</f>
        <v>0</v>
      </c>
      <c r="G214" s="48">
        <f t="shared" si="149"/>
        <v>0</v>
      </c>
      <c r="H214" s="48">
        <f t="shared" si="149"/>
        <v>0</v>
      </c>
      <c r="I214" s="48">
        <f t="shared" si="149"/>
        <v>0</v>
      </c>
      <c r="J214" s="48">
        <f t="shared" si="149"/>
        <v>0</v>
      </c>
      <c r="K214" s="48">
        <f t="shared" si="149"/>
        <v>0</v>
      </c>
      <c r="L214" s="48">
        <f t="shared" si="149"/>
        <v>0</v>
      </c>
      <c r="M214" s="48">
        <f t="shared" si="149"/>
        <v>0</v>
      </c>
      <c r="N214" s="48">
        <f t="shared" si="149"/>
        <v>0</v>
      </c>
      <c r="O214" s="48">
        <f t="shared" si="149"/>
        <v>0</v>
      </c>
      <c r="P214" s="48">
        <f t="shared" si="149"/>
        <v>0</v>
      </c>
    </row>
    <row r="215" spans="1:17" x14ac:dyDescent="0.25">
      <c r="A215">
        <f t="shared" si="146"/>
        <v>0</v>
      </c>
      <c r="B215" t="str">
        <f t="shared" si="146"/>
        <v>Open_02</v>
      </c>
      <c r="C215" s="6"/>
      <c r="D215" s="85">
        <v>0</v>
      </c>
      <c r="E215" s="75">
        <f t="shared" si="142"/>
        <v>0</v>
      </c>
      <c r="F215" s="75">
        <f t="shared" ref="F215:P215" si="150">F194*$D215*(1+F$5)</f>
        <v>0</v>
      </c>
      <c r="G215" s="75">
        <f t="shared" si="150"/>
        <v>0</v>
      </c>
      <c r="H215" s="75">
        <f t="shared" si="150"/>
        <v>0</v>
      </c>
      <c r="I215" s="75">
        <f t="shared" si="150"/>
        <v>0</v>
      </c>
      <c r="J215" s="75">
        <f t="shared" si="150"/>
        <v>0</v>
      </c>
      <c r="K215" s="75">
        <f t="shared" si="150"/>
        <v>0</v>
      </c>
      <c r="L215" s="75">
        <f t="shared" si="150"/>
        <v>0</v>
      </c>
      <c r="M215" s="75">
        <f t="shared" si="150"/>
        <v>0</v>
      </c>
      <c r="N215" s="75">
        <f t="shared" si="150"/>
        <v>0</v>
      </c>
      <c r="O215" s="75">
        <f t="shared" si="150"/>
        <v>0</v>
      </c>
      <c r="P215" s="75">
        <f t="shared" si="150"/>
        <v>0</v>
      </c>
    </row>
    <row r="216" spans="1:17" x14ac:dyDescent="0.25">
      <c r="A216">
        <f t="shared" si="146"/>
        <v>0</v>
      </c>
      <c r="B216" t="str">
        <f t="shared" si="146"/>
        <v>Open_03</v>
      </c>
      <c r="C216" s="6"/>
      <c r="D216" s="85">
        <v>0</v>
      </c>
      <c r="E216" s="75">
        <f t="shared" si="142"/>
        <v>0</v>
      </c>
      <c r="F216" s="75">
        <f t="shared" ref="F216:P216" si="151">F195*$D216*(1+F$5)</f>
        <v>0</v>
      </c>
      <c r="G216" s="75">
        <f t="shared" si="151"/>
        <v>0</v>
      </c>
      <c r="H216" s="75">
        <f t="shared" si="151"/>
        <v>0</v>
      </c>
      <c r="I216" s="75">
        <f t="shared" si="151"/>
        <v>0</v>
      </c>
      <c r="J216" s="75">
        <f t="shared" si="151"/>
        <v>0</v>
      </c>
      <c r="K216" s="75">
        <f t="shared" si="151"/>
        <v>0</v>
      </c>
      <c r="L216" s="75">
        <f t="shared" si="151"/>
        <v>0</v>
      </c>
      <c r="M216" s="75">
        <f t="shared" si="151"/>
        <v>0</v>
      </c>
      <c r="N216" s="75">
        <f t="shared" si="151"/>
        <v>0</v>
      </c>
      <c r="O216" s="75">
        <f t="shared" si="151"/>
        <v>0</v>
      </c>
      <c r="P216" s="75">
        <f t="shared" si="151"/>
        <v>0</v>
      </c>
    </row>
    <row r="217" spans="1:17" x14ac:dyDescent="0.25">
      <c r="A217">
        <f t="shared" si="146"/>
        <v>0</v>
      </c>
      <c r="B217" t="str">
        <f t="shared" si="146"/>
        <v>Open_04</v>
      </c>
      <c r="C217" s="31"/>
      <c r="D217" s="85">
        <v>0</v>
      </c>
      <c r="E217" s="49">
        <f t="shared" si="142"/>
        <v>0</v>
      </c>
      <c r="F217" s="49">
        <f t="shared" ref="F217:P217" si="152">F196*$D217*(1+F$5)</f>
        <v>0</v>
      </c>
      <c r="G217" s="49">
        <f t="shared" si="152"/>
        <v>0</v>
      </c>
      <c r="H217" s="49">
        <f t="shared" si="152"/>
        <v>0</v>
      </c>
      <c r="I217" s="49">
        <f t="shared" si="152"/>
        <v>0</v>
      </c>
      <c r="J217" s="49">
        <f t="shared" si="152"/>
        <v>0</v>
      </c>
      <c r="K217" s="49">
        <f t="shared" si="152"/>
        <v>0</v>
      </c>
      <c r="L217" s="49">
        <f t="shared" si="152"/>
        <v>0</v>
      </c>
      <c r="M217" s="49">
        <f t="shared" si="152"/>
        <v>0</v>
      </c>
      <c r="N217" s="49">
        <f t="shared" si="152"/>
        <v>0</v>
      </c>
      <c r="O217" s="49">
        <f t="shared" si="152"/>
        <v>0</v>
      </c>
      <c r="P217" s="49">
        <f t="shared" si="152"/>
        <v>0</v>
      </c>
    </row>
    <row r="218" spans="1:17" x14ac:dyDescent="0.25">
      <c r="C218" s="31"/>
      <c r="E218" s="48">
        <f t="shared" ref="E218:P218" si="153">SUM(E209:E217)</f>
        <v>238000</v>
      </c>
      <c r="F218" s="48">
        <f t="shared" si="153"/>
        <v>242760</v>
      </c>
      <c r="G218" s="48">
        <f t="shared" si="153"/>
        <v>247520</v>
      </c>
      <c r="H218" s="48">
        <f t="shared" si="153"/>
        <v>252280</v>
      </c>
      <c r="I218" s="48">
        <f t="shared" si="153"/>
        <v>257040</v>
      </c>
      <c r="J218" s="48">
        <f t="shared" si="153"/>
        <v>261800</v>
      </c>
      <c r="K218" s="48">
        <f t="shared" si="153"/>
        <v>266560</v>
      </c>
      <c r="L218" s="48">
        <f t="shared" si="153"/>
        <v>271320.00000000006</v>
      </c>
      <c r="M218" s="48">
        <f t="shared" si="153"/>
        <v>276080</v>
      </c>
      <c r="N218" s="48">
        <f t="shared" si="153"/>
        <v>280840</v>
      </c>
      <c r="O218" s="48">
        <f t="shared" si="153"/>
        <v>285600</v>
      </c>
      <c r="P218" s="48">
        <f t="shared" si="153"/>
        <v>290360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697</v>
      </c>
      <c r="D222" s="2"/>
      <c r="E222" s="2">
        <v>1.54</v>
      </c>
      <c r="F222" s="12">
        <f>E222*1.03</f>
        <v>1.5862000000000001</v>
      </c>
      <c r="G222" s="12">
        <f>F222*1.03</f>
        <v>1.6337860000000002</v>
      </c>
      <c r="H222" s="2">
        <v>2.85</v>
      </c>
      <c r="I222" s="155">
        <f>H222*1.03</f>
        <v>2.9355000000000002</v>
      </c>
      <c r="J222" s="155">
        <f t="shared" ref="J222:P222" si="154">I222*1.03</f>
        <v>3.0235650000000005</v>
      </c>
      <c r="K222" s="155">
        <f t="shared" si="154"/>
        <v>3.1142719500000005</v>
      </c>
      <c r="L222" s="155">
        <f t="shared" si="154"/>
        <v>3.2077001085000005</v>
      </c>
      <c r="M222" s="155">
        <f t="shared" si="154"/>
        <v>3.3039311117550008</v>
      </c>
      <c r="N222" s="155">
        <f t="shared" si="154"/>
        <v>3.4030490451076507</v>
      </c>
      <c r="O222" s="155">
        <f t="shared" si="154"/>
        <v>3.5051405164608802</v>
      </c>
      <c r="P222" s="155">
        <f t="shared" si="154"/>
        <v>3.6102947319547067</v>
      </c>
      <c r="Q222" s="155"/>
    </row>
    <row r="223" spans="1:17" x14ac:dyDescent="0.25">
      <c r="A223" s="16"/>
      <c r="B223" s="2" t="s">
        <v>461</v>
      </c>
      <c r="C223" s="6" t="s">
        <v>696</v>
      </c>
      <c r="D223" s="2"/>
      <c r="E223" s="10">
        <v>5550</v>
      </c>
      <c r="F223" s="10">
        <v>5550</v>
      </c>
      <c r="G223" s="10">
        <v>5550</v>
      </c>
      <c r="H223" s="10">
        <v>4000</v>
      </c>
      <c r="I223" s="10">
        <v>4000</v>
      </c>
      <c r="J223" s="10">
        <v>4000</v>
      </c>
      <c r="K223" s="10">
        <v>4000</v>
      </c>
      <c r="L223" s="10">
        <v>4000</v>
      </c>
      <c r="M223" s="10">
        <v>4000</v>
      </c>
      <c r="N223" s="10">
        <v>4000</v>
      </c>
      <c r="O223" s="10">
        <v>4000</v>
      </c>
      <c r="P223" s="10">
        <v>4000</v>
      </c>
      <c r="Q223" s="10"/>
    </row>
    <row r="224" spans="1:17" x14ac:dyDescent="0.25">
      <c r="A224" s="2"/>
      <c r="B224" s="2" t="s">
        <v>462</v>
      </c>
      <c r="C224" s="31"/>
      <c r="E224" s="10">
        <v>105300</v>
      </c>
      <c r="F224" s="10">
        <v>107900</v>
      </c>
      <c r="G224" s="10">
        <v>111700</v>
      </c>
      <c r="H224" s="10">
        <f>H222*H223*12</f>
        <v>136800</v>
      </c>
      <c r="I224" s="10">
        <f>I222*I223*12</f>
        <v>140904</v>
      </c>
      <c r="J224" s="10">
        <f t="shared" ref="J224:P224" si="155">J222*J223*12</f>
        <v>145131.12000000002</v>
      </c>
      <c r="K224" s="10">
        <f t="shared" si="155"/>
        <v>149485.05360000001</v>
      </c>
      <c r="L224" s="10">
        <f t="shared" si="155"/>
        <v>153969.60520800002</v>
      </c>
      <c r="M224" s="10">
        <f t="shared" si="155"/>
        <v>158588.69336424005</v>
      </c>
      <c r="N224" s="10">
        <f t="shared" si="155"/>
        <v>163346.35416516723</v>
      </c>
      <c r="O224" s="10">
        <f t="shared" si="155"/>
        <v>168246.74479012223</v>
      </c>
      <c r="P224" s="10">
        <f t="shared" si="155"/>
        <v>173294.14713382593</v>
      </c>
      <c r="Q224" s="10"/>
    </row>
  </sheetData>
  <printOptions horizontalCentered="1"/>
  <pageMargins left="0.7" right="0.7" top="0.75" bottom="0.75" header="0.3" footer="0.3"/>
  <pageSetup paperSize="17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224"/>
  <sheetViews>
    <sheetView workbookViewId="0">
      <selection activeCell="E175" sqref="E175"/>
    </sheetView>
  </sheetViews>
  <sheetFormatPr defaultColWidth="8.85546875" defaultRowHeight="15" outlineLevelRow="2" x14ac:dyDescent="0.25"/>
  <cols>
    <col min="2" max="2" width="49" customWidth="1"/>
    <col min="3" max="3" width="50.140625" customWidth="1"/>
    <col min="4" max="4" width="15.5703125" bestFit="1" customWidth="1"/>
    <col min="5" max="16" width="12.7109375" customWidth="1"/>
  </cols>
  <sheetData>
    <row r="1" spans="1:60" x14ac:dyDescent="0.25">
      <c r="A1" s="30" t="str">
        <f>Assumptions!A1</f>
        <v>Nevada State High School's</v>
      </c>
    </row>
    <row r="2" spans="1:60" x14ac:dyDescent="0.25">
      <c r="A2" s="30" t="str">
        <f ca="1">RIGHT(CELL("filename",A1),LEN(CELL("filename",A1))-FIND("]",CELL("filename",A1)))</f>
        <v>Site2</v>
      </c>
    </row>
    <row r="3" spans="1:60" s="71" customFormat="1" x14ac:dyDescent="0.25"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204</v>
      </c>
      <c r="L3" s="41" t="s">
        <v>352</v>
      </c>
      <c r="M3" s="41" t="s">
        <v>353</v>
      </c>
      <c r="N3" s="41" t="s">
        <v>368</v>
      </c>
      <c r="O3" s="41" t="s">
        <v>368</v>
      </c>
      <c r="P3" s="41" t="s">
        <v>657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x14ac:dyDescent="0.25">
      <c r="B4" t="s">
        <v>28</v>
      </c>
      <c r="C4" t="s">
        <v>542</v>
      </c>
      <c r="E4" s="213">
        <v>0</v>
      </c>
      <c r="F4" s="213">
        <v>0.02</v>
      </c>
      <c r="G4" s="213">
        <v>0.02</v>
      </c>
      <c r="H4" s="214">
        <f t="shared" ref="H4:P4" si="0">G4</f>
        <v>0.02</v>
      </c>
      <c r="I4" s="214">
        <f t="shared" si="0"/>
        <v>0.02</v>
      </c>
      <c r="J4" s="214">
        <f t="shared" si="0"/>
        <v>0.02</v>
      </c>
      <c r="K4" s="214">
        <f t="shared" si="0"/>
        <v>0.02</v>
      </c>
      <c r="L4" s="214">
        <f t="shared" si="0"/>
        <v>0.02</v>
      </c>
      <c r="M4" s="214">
        <f t="shared" si="0"/>
        <v>0.02</v>
      </c>
      <c r="N4" s="214">
        <f t="shared" si="0"/>
        <v>0.02</v>
      </c>
      <c r="O4" s="214">
        <f t="shared" si="0"/>
        <v>0.02</v>
      </c>
      <c r="P4" s="214">
        <f t="shared" si="0"/>
        <v>0.02</v>
      </c>
    </row>
    <row r="5" spans="1:60" x14ac:dyDescent="0.25">
      <c r="B5" s="26" t="s">
        <v>88</v>
      </c>
      <c r="E5" s="80">
        <f>E4</f>
        <v>0</v>
      </c>
      <c r="F5" s="81">
        <f t="shared" ref="F5:P5" si="1">F4+E5</f>
        <v>0.02</v>
      </c>
      <c r="G5" s="81">
        <f t="shared" si="1"/>
        <v>0.04</v>
      </c>
      <c r="H5" s="29">
        <f t="shared" si="1"/>
        <v>0.06</v>
      </c>
      <c r="I5" s="29">
        <f t="shared" si="1"/>
        <v>0.08</v>
      </c>
      <c r="J5" s="29">
        <f t="shared" si="1"/>
        <v>0.1</v>
      </c>
      <c r="K5" s="29">
        <f t="shared" si="1"/>
        <v>0.12000000000000001</v>
      </c>
      <c r="L5" s="29">
        <f t="shared" si="1"/>
        <v>0.14000000000000001</v>
      </c>
      <c r="M5" s="29">
        <f t="shared" si="1"/>
        <v>0.16</v>
      </c>
      <c r="N5" s="29">
        <f t="shared" si="1"/>
        <v>0.18</v>
      </c>
      <c r="O5" s="29">
        <f t="shared" si="1"/>
        <v>0.19999999999999998</v>
      </c>
      <c r="P5" s="29">
        <f t="shared" si="1"/>
        <v>0.21999999999999997</v>
      </c>
    </row>
    <row r="6" spans="1:60" x14ac:dyDescent="0.25">
      <c r="B6" t="s">
        <v>539</v>
      </c>
      <c r="E6" s="213">
        <v>0</v>
      </c>
      <c r="F6" s="213">
        <v>7.4999999999999997E-3</v>
      </c>
      <c r="G6" s="213">
        <v>7.4999999999999997E-3</v>
      </c>
      <c r="H6" s="214">
        <f t="shared" ref="H6:P6" si="2">G6</f>
        <v>7.4999999999999997E-3</v>
      </c>
      <c r="I6" s="214">
        <f t="shared" si="2"/>
        <v>7.4999999999999997E-3</v>
      </c>
      <c r="J6" s="214">
        <f t="shared" si="2"/>
        <v>7.4999999999999997E-3</v>
      </c>
      <c r="K6" s="214">
        <f t="shared" si="2"/>
        <v>7.4999999999999997E-3</v>
      </c>
      <c r="L6" s="214">
        <f t="shared" si="2"/>
        <v>7.4999999999999997E-3</v>
      </c>
      <c r="M6" s="214">
        <f t="shared" si="2"/>
        <v>7.4999999999999997E-3</v>
      </c>
      <c r="N6" s="214">
        <f t="shared" si="2"/>
        <v>7.4999999999999997E-3</v>
      </c>
      <c r="O6" s="214">
        <f t="shared" si="2"/>
        <v>7.4999999999999997E-3</v>
      </c>
      <c r="P6" s="214">
        <f t="shared" si="2"/>
        <v>7.4999999999999997E-3</v>
      </c>
    </row>
    <row r="7" spans="1:60" x14ac:dyDescent="0.25">
      <c r="B7" s="26" t="s">
        <v>88</v>
      </c>
      <c r="E7" s="80">
        <f>E6</f>
        <v>0</v>
      </c>
      <c r="F7" s="81">
        <f>F6+E7</f>
        <v>7.4999999999999997E-3</v>
      </c>
      <c r="G7" s="81">
        <f t="shared" ref="G7:P7" si="3">G6+F7</f>
        <v>1.4999999999999999E-2</v>
      </c>
      <c r="H7" s="29">
        <f t="shared" si="3"/>
        <v>2.2499999999999999E-2</v>
      </c>
      <c r="I7" s="29">
        <f t="shared" si="3"/>
        <v>0.03</v>
      </c>
      <c r="J7" s="29">
        <f t="shared" si="3"/>
        <v>3.7499999999999999E-2</v>
      </c>
      <c r="K7" s="29">
        <f t="shared" si="3"/>
        <v>4.4999999999999998E-2</v>
      </c>
      <c r="L7" s="29">
        <f t="shared" si="3"/>
        <v>5.2499999999999998E-2</v>
      </c>
      <c r="M7" s="29">
        <f t="shared" si="3"/>
        <v>0.06</v>
      </c>
      <c r="N7" s="29">
        <f t="shared" si="3"/>
        <v>6.7500000000000004E-2</v>
      </c>
      <c r="O7" s="29">
        <f t="shared" si="3"/>
        <v>7.5000000000000011E-2</v>
      </c>
      <c r="P7" s="29">
        <f t="shared" si="3"/>
        <v>8.2500000000000018E-2</v>
      </c>
    </row>
    <row r="8" spans="1:60" x14ac:dyDescent="0.25">
      <c r="B8" t="s">
        <v>426</v>
      </c>
      <c r="C8" s="26"/>
      <c r="E8" s="92">
        <v>0</v>
      </c>
      <c r="F8" s="92">
        <v>0.04</v>
      </c>
      <c r="G8" s="87">
        <f>F8</f>
        <v>0.04</v>
      </c>
      <c r="H8" s="87">
        <f t="shared" ref="H8:P8" si="4">G8</f>
        <v>0.04</v>
      </c>
      <c r="I8" s="87">
        <f t="shared" si="4"/>
        <v>0.04</v>
      </c>
      <c r="J8" s="87">
        <f t="shared" si="4"/>
        <v>0.04</v>
      </c>
      <c r="K8" s="87">
        <f t="shared" si="4"/>
        <v>0.04</v>
      </c>
      <c r="L8" s="87">
        <f t="shared" si="4"/>
        <v>0.04</v>
      </c>
      <c r="M8" s="87">
        <f t="shared" si="4"/>
        <v>0.04</v>
      </c>
      <c r="N8" s="87">
        <f t="shared" si="4"/>
        <v>0.04</v>
      </c>
      <c r="O8" s="87">
        <f t="shared" si="4"/>
        <v>0.04</v>
      </c>
      <c r="P8" s="87">
        <f t="shared" si="4"/>
        <v>0.04</v>
      </c>
    </row>
    <row r="9" spans="1:60" x14ac:dyDescent="0.25">
      <c r="B9" s="26" t="s">
        <v>88</v>
      </c>
      <c r="E9" s="80">
        <f>E8</f>
        <v>0</v>
      </c>
      <c r="F9" s="81">
        <f>F8+E9</f>
        <v>0.04</v>
      </c>
      <c r="G9" s="81">
        <f t="shared" ref="G9:P9" si="5">G8+F9</f>
        <v>0.08</v>
      </c>
      <c r="H9" s="29">
        <f t="shared" si="5"/>
        <v>0.12</v>
      </c>
      <c r="I9" s="29">
        <f t="shared" si="5"/>
        <v>0.16</v>
      </c>
      <c r="J9" s="29">
        <f t="shared" si="5"/>
        <v>0.2</v>
      </c>
      <c r="K9" s="29">
        <f t="shared" si="5"/>
        <v>0.24000000000000002</v>
      </c>
      <c r="L9" s="29">
        <f t="shared" si="5"/>
        <v>0.28000000000000003</v>
      </c>
      <c r="M9" s="29">
        <f t="shared" si="5"/>
        <v>0.32</v>
      </c>
      <c r="N9" s="29">
        <f t="shared" si="5"/>
        <v>0.36</v>
      </c>
      <c r="O9" s="29">
        <f t="shared" si="5"/>
        <v>0.39999999999999997</v>
      </c>
      <c r="P9" s="29">
        <f t="shared" si="5"/>
        <v>0.43999999999999995</v>
      </c>
    </row>
    <row r="10" spans="1:60" x14ac:dyDescent="0.25">
      <c r="A10" s="30"/>
      <c r="B10" t="s">
        <v>50</v>
      </c>
      <c r="E10" s="92">
        <v>0</v>
      </c>
      <c r="F10" s="92">
        <v>0.02</v>
      </c>
      <c r="G10" s="87">
        <f>F10</f>
        <v>0.02</v>
      </c>
      <c r="H10" s="87">
        <f t="shared" ref="H10:P10" si="6">G10</f>
        <v>0.02</v>
      </c>
      <c r="I10" s="87">
        <f t="shared" si="6"/>
        <v>0.02</v>
      </c>
      <c r="J10" s="87">
        <f t="shared" si="6"/>
        <v>0.02</v>
      </c>
      <c r="K10" s="87">
        <f t="shared" si="6"/>
        <v>0.02</v>
      </c>
      <c r="L10" s="87">
        <f t="shared" si="6"/>
        <v>0.02</v>
      </c>
      <c r="M10" s="87">
        <f t="shared" si="6"/>
        <v>0.02</v>
      </c>
      <c r="N10" s="87">
        <f t="shared" si="6"/>
        <v>0.02</v>
      </c>
      <c r="O10" s="87">
        <f t="shared" si="6"/>
        <v>0.02</v>
      </c>
      <c r="P10" s="87">
        <f t="shared" si="6"/>
        <v>0.02</v>
      </c>
    </row>
    <row r="11" spans="1:60" x14ac:dyDescent="0.25">
      <c r="A11" s="30"/>
      <c r="B11" s="26" t="s">
        <v>88</v>
      </c>
      <c r="E11" s="80">
        <f>E10</f>
        <v>0</v>
      </c>
      <c r="F11" s="81">
        <f>F10+E11</f>
        <v>0.02</v>
      </c>
      <c r="G11" s="81">
        <f t="shared" ref="G11:P11" si="7">G10+F11</f>
        <v>0.04</v>
      </c>
      <c r="H11" s="29">
        <f t="shared" si="7"/>
        <v>0.06</v>
      </c>
      <c r="I11" s="29">
        <f t="shared" si="7"/>
        <v>0.08</v>
      </c>
      <c r="J11" s="29">
        <f t="shared" si="7"/>
        <v>0.1</v>
      </c>
      <c r="K11" s="29">
        <f t="shared" si="7"/>
        <v>0.12000000000000001</v>
      </c>
      <c r="L11" s="29">
        <f t="shared" si="7"/>
        <v>0.14000000000000001</v>
      </c>
      <c r="M11" s="29">
        <f t="shared" si="7"/>
        <v>0.16</v>
      </c>
      <c r="N11" s="29">
        <f t="shared" si="7"/>
        <v>0.18</v>
      </c>
      <c r="O11" s="29">
        <f t="shared" si="7"/>
        <v>0.19999999999999998</v>
      </c>
      <c r="P11" s="29">
        <f t="shared" si="7"/>
        <v>0.21999999999999997</v>
      </c>
    </row>
    <row r="12" spans="1:60" x14ac:dyDescent="0.25">
      <c r="A12" s="30"/>
      <c r="B12" s="26"/>
      <c r="E12" s="80"/>
      <c r="F12" s="81"/>
      <c r="G12" s="81"/>
      <c r="H12" s="29"/>
      <c r="I12" s="29"/>
      <c r="J12" s="29"/>
      <c r="K12" s="29"/>
      <c r="L12" s="29"/>
      <c r="M12" s="29"/>
      <c r="N12" s="29"/>
      <c r="O12" s="29"/>
      <c r="P12" s="29"/>
    </row>
    <row r="13" spans="1:60" x14ac:dyDescent="0.25">
      <c r="A13" s="30"/>
      <c r="B13" s="18" t="s">
        <v>706</v>
      </c>
      <c r="C13" t="s">
        <v>707</v>
      </c>
      <c r="E13" s="93">
        <v>1.02</v>
      </c>
      <c r="F13" s="94">
        <f>E13</f>
        <v>1.02</v>
      </c>
      <c r="G13" s="94">
        <f t="shared" ref="G13:P16" si="8">F13</f>
        <v>1.02</v>
      </c>
      <c r="H13" s="64">
        <f t="shared" si="8"/>
        <v>1.02</v>
      </c>
      <c r="I13" s="64">
        <f t="shared" si="8"/>
        <v>1.02</v>
      </c>
      <c r="J13" s="64">
        <f t="shared" si="8"/>
        <v>1.02</v>
      </c>
      <c r="K13" s="64">
        <f t="shared" si="8"/>
        <v>1.02</v>
      </c>
      <c r="L13" s="64">
        <f t="shared" si="8"/>
        <v>1.02</v>
      </c>
      <c r="M13" s="64">
        <f t="shared" si="8"/>
        <v>1.02</v>
      </c>
      <c r="N13" s="64">
        <f t="shared" si="8"/>
        <v>1.02</v>
      </c>
      <c r="O13" s="64">
        <f t="shared" si="8"/>
        <v>1.02</v>
      </c>
      <c r="P13" s="64">
        <f t="shared" si="8"/>
        <v>1.02</v>
      </c>
    </row>
    <row r="14" spans="1:60" x14ac:dyDescent="0.25">
      <c r="A14" s="30"/>
      <c r="B14" t="s">
        <v>141</v>
      </c>
      <c r="E14" s="93">
        <v>0.4</v>
      </c>
      <c r="F14" s="64">
        <f>E14</f>
        <v>0.4</v>
      </c>
      <c r="G14" s="64">
        <f t="shared" si="8"/>
        <v>0.4</v>
      </c>
      <c r="H14" s="64">
        <f t="shared" si="8"/>
        <v>0.4</v>
      </c>
      <c r="I14" s="64">
        <f t="shared" si="8"/>
        <v>0.4</v>
      </c>
      <c r="J14" s="64">
        <f t="shared" si="8"/>
        <v>0.4</v>
      </c>
      <c r="K14" s="64">
        <f t="shared" si="8"/>
        <v>0.4</v>
      </c>
      <c r="L14" s="64">
        <f t="shared" si="8"/>
        <v>0.4</v>
      </c>
      <c r="M14" s="64">
        <f t="shared" si="8"/>
        <v>0.4</v>
      </c>
      <c r="N14" s="64">
        <f t="shared" si="8"/>
        <v>0.4</v>
      </c>
      <c r="O14" s="64">
        <f t="shared" si="8"/>
        <v>0.4</v>
      </c>
      <c r="P14" s="64">
        <f t="shared" si="8"/>
        <v>0.4</v>
      </c>
    </row>
    <row r="15" spans="1:60" x14ac:dyDescent="0.25">
      <c r="A15" s="30"/>
      <c r="B15" s="18" t="s">
        <v>142</v>
      </c>
      <c r="E15" s="93">
        <v>0.1</v>
      </c>
      <c r="F15" s="64">
        <f>E15</f>
        <v>0.1</v>
      </c>
      <c r="G15" s="64">
        <f t="shared" ref="G15:I16" si="9">F15</f>
        <v>0.1</v>
      </c>
      <c r="H15" s="64">
        <f t="shared" si="9"/>
        <v>0.1</v>
      </c>
      <c r="I15" s="64">
        <f t="shared" si="9"/>
        <v>0.1</v>
      </c>
      <c r="J15" s="64">
        <f t="shared" si="8"/>
        <v>0.1</v>
      </c>
      <c r="K15" s="64">
        <f t="shared" si="8"/>
        <v>0.1</v>
      </c>
      <c r="L15" s="64">
        <f t="shared" si="8"/>
        <v>0.1</v>
      </c>
      <c r="M15" s="64">
        <f t="shared" si="8"/>
        <v>0.1</v>
      </c>
      <c r="N15" s="64">
        <f t="shared" si="8"/>
        <v>0.1</v>
      </c>
      <c r="O15" s="64">
        <f t="shared" si="8"/>
        <v>0.1</v>
      </c>
      <c r="P15" s="64">
        <f t="shared" si="8"/>
        <v>0.1</v>
      </c>
    </row>
    <row r="16" spans="1:60" x14ac:dyDescent="0.25">
      <c r="A16" s="30"/>
      <c r="B16" s="18" t="s">
        <v>143</v>
      </c>
      <c r="E16" s="93">
        <v>0.01</v>
      </c>
      <c r="F16" s="64">
        <f>E16</f>
        <v>0.01</v>
      </c>
      <c r="G16" s="64">
        <f t="shared" si="9"/>
        <v>0.01</v>
      </c>
      <c r="H16" s="64">
        <f t="shared" si="9"/>
        <v>0.01</v>
      </c>
      <c r="I16" s="64">
        <f t="shared" si="9"/>
        <v>0.01</v>
      </c>
      <c r="J16" s="64">
        <f t="shared" si="8"/>
        <v>0.01</v>
      </c>
      <c r="K16" s="64">
        <f t="shared" si="8"/>
        <v>0.01</v>
      </c>
      <c r="L16" s="64">
        <f t="shared" si="8"/>
        <v>0.01</v>
      </c>
      <c r="M16" s="64">
        <f t="shared" si="8"/>
        <v>0.01</v>
      </c>
      <c r="N16" s="64">
        <f t="shared" si="8"/>
        <v>0.01</v>
      </c>
      <c r="O16" s="64">
        <f t="shared" si="8"/>
        <v>0.01</v>
      </c>
      <c r="P16" s="64">
        <f t="shared" si="8"/>
        <v>0.01</v>
      </c>
    </row>
    <row r="17" spans="1:16" x14ac:dyDescent="0.25">
      <c r="A17" s="30"/>
      <c r="B17" s="18" t="s">
        <v>367</v>
      </c>
      <c r="E17" s="76">
        <f t="shared" ref="E17:P17" si="10">E13*E182</f>
        <v>204</v>
      </c>
      <c r="F17" s="31">
        <f t="shared" si="10"/>
        <v>208.08</v>
      </c>
      <c r="G17" s="31">
        <f t="shared" si="10"/>
        <v>212.16</v>
      </c>
      <c r="H17" s="31">
        <f t="shared" si="10"/>
        <v>216.24</v>
      </c>
      <c r="I17" s="31">
        <f t="shared" si="10"/>
        <v>220.32</v>
      </c>
      <c r="J17" s="31">
        <f t="shared" si="10"/>
        <v>224.4</v>
      </c>
      <c r="K17" s="31">
        <f t="shared" si="10"/>
        <v>228.48000000000002</v>
      </c>
      <c r="L17" s="31">
        <f t="shared" si="10"/>
        <v>232.56</v>
      </c>
      <c r="M17" s="31">
        <f t="shared" si="10"/>
        <v>237.66</v>
      </c>
      <c r="N17" s="31">
        <f t="shared" si="10"/>
        <v>242.76</v>
      </c>
      <c r="O17" s="31">
        <f t="shared" si="10"/>
        <v>247.86</v>
      </c>
      <c r="P17" s="31">
        <f t="shared" si="10"/>
        <v>252.96</v>
      </c>
    </row>
    <row r="18" spans="1:16" x14ac:dyDescent="0.25">
      <c r="A18" s="30"/>
      <c r="B18" s="18" t="s">
        <v>145</v>
      </c>
      <c r="E18" s="31">
        <f>+E17*E14</f>
        <v>81.600000000000009</v>
      </c>
      <c r="F18" s="31">
        <f>+F17*F14</f>
        <v>83.232000000000014</v>
      </c>
      <c r="G18" s="31">
        <f>+G17*G14</f>
        <v>84.864000000000004</v>
      </c>
      <c r="H18" s="31">
        <f>+H17*H14</f>
        <v>86.496000000000009</v>
      </c>
      <c r="I18" s="31">
        <f>+I17*I14</f>
        <v>88.128</v>
      </c>
      <c r="J18" s="31">
        <f t="shared" ref="J18:P18" si="11">+J17*J14</f>
        <v>89.76</v>
      </c>
      <c r="K18" s="31">
        <f t="shared" si="11"/>
        <v>91.39200000000001</v>
      </c>
      <c r="L18" s="31">
        <f t="shared" si="11"/>
        <v>93.024000000000001</v>
      </c>
      <c r="M18" s="31">
        <f t="shared" si="11"/>
        <v>95.064000000000007</v>
      </c>
      <c r="N18" s="31">
        <f t="shared" si="11"/>
        <v>97.103999999999999</v>
      </c>
      <c r="O18" s="31">
        <f t="shared" si="11"/>
        <v>99.144000000000005</v>
      </c>
      <c r="P18" s="31">
        <f t="shared" si="11"/>
        <v>101.18400000000001</v>
      </c>
    </row>
    <row r="19" spans="1:16" x14ac:dyDescent="0.25">
      <c r="A19" s="30"/>
      <c r="B19" s="18" t="s">
        <v>146</v>
      </c>
      <c r="E19" s="31">
        <f t="shared" ref="E19:P19" si="12">E182*E15</f>
        <v>20</v>
      </c>
      <c r="F19" s="31">
        <f t="shared" si="12"/>
        <v>20.400000000000002</v>
      </c>
      <c r="G19" s="31">
        <f t="shared" si="12"/>
        <v>20.8</v>
      </c>
      <c r="H19" s="31">
        <f t="shared" si="12"/>
        <v>21.200000000000003</v>
      </c>
      <c r="I19" s="31">
        <f t="shared" si="12"/>
        <v>21.6</v>
      </c>
      <c r="J19" s="31">
        <f t="shared" si="12"/>
        <v>22</v>
      </c>
      <c r="K19" s="31">
        <f t="shared" si="12"/>
        <v>22.400000000000002</v>
      </c>
      <c r="L19" s="31">
        <f t="shared" si="12"/>
        <v>22.8</v>
      </c>
      <c r="M19" s="31">
        <f t="shared" si="12"/>
        <v>23.3</v>
      </c>
      <c r="N19" s="31">
        <f t="shared" si="12"/>
        <v>23.8</v>
      </c>
      <c r="O19" s="31">
        <f t="shared" si="12"/>
        <v>24.3</v>
      </c>
      <c r="P19" s="31">
        <f t="shared" si="12"/>
        <v>24.8</v>
      </c>
    </row>
    <row r="20" spans="1:16" x14ac:dyDescent="0.25">
      <c r="A20" s="30"/>
      <c r="B20" s="18" t="s">
        <v>147</v>
      </c>
      <c r="E20" s="31">
        <f t="shared" ref="E20:P20" si="13">E182*E16</f>
        <v>2</v>
      </c>
      <c r="F20" s="31">
        <f t="shared" si="13"/>
        <v>2.04</v>
      </c>
      <c r="G20" s="31">
        <f t="shared" si="13"/>
        <v>2.08</v>
      </c>
      <c r="H20" s="31">
        <f t="shared" si="13"/>
        <v>2.12</v>
      </c>
      <c r="I20" s="31">
        <f t="shared" si="13"/>
        <v>2.16</v>
      </c>
      <c r="J20" s="31">
        <f t="shared" si="13"/>
        <v>2.2000000000000002</v>
      </c>
      <c r="K20" s="31">
        <f t="shared" si="13"/>
        <v>2.2400000000000002</v>
      </c>
      <c r="L20" s="31">
        <f t="shared" si="13"/>
        <v>2.2800000000000002</v>
      </c>
      <c r="M20" s="31">
        <f t="shared" si="13"/>
        <v>2.33</v>
      </c>
      <c r="N20" s="31">
        <f t="shared" si="13"/>
        <v>2.38</v>
      </c>
      <c r="O20" s="31">
        <f t="shared" si="13"/>
        <v>2.4300000000000002</v>
      </c>
      <c r="P20" s="31">
        <f t="shared" si="13"/>
        <v>2.48</v>
      </c>
    </row>
    <row r="21" spans="1:16" x14ac:dyDescent="0.25">
      <c r="A21" s="30"/>
      <c r="B21" s="18"/>
      <c r="E21" s="31"/>
      <c r="F21" s="31"/>
      <c r="G21" s="31"/>
      <c r="H21" s="31"/>
      <c r="I21" s="31"/>
      <c r="J21" s="31"/>
    </row>
    <row r="22" spans="1:16" x14ac:dyDescent="0.25">
      <c r="A22" s="4" t="s">
        <v>24</v>
      </c>
      <c r="B22" s="4" t="s">
        <v>25</v>
      </c>
      <c r="C22" s="4"/>
      <c r="E22" s="3" t="str">
        <f>E3</f>
        <v>FY 2018-2019</v>
      </c>
      <c r="F22" s="3" t="str">
        <f t="shared" ref="F22:P22" si="14">F3</f>
        <v>FY 2019-2020</v>
      </c>
      <c r="G22" s="3" t="str">
        <f t="shared" si="14"/>
        <v>FY 2020-2021</v>
      </c>
      <c r="H22" s="3" t="str">
        <f t="shared" si="14"/>
        <v>FY 2021-2022</v>
      </c>
      <c r="I22" s="3" t="str">
        <f t="shared" si="14"/>
        <v>FY 2022-2023</v>
      </c>
      <c r="J22" s="3" t="str">
        <f t="shared" si="14"/>
        <v>FY 2023-2024</v>
      </c>
      <c r="K22" s="3" t="str">
        <f t="shared" si="14"/>
        <v>FY 2024-2025</v>
      </c>
      <c r="L22" s="3" t="str">
        <f t="shared" si="14"/>
        <v>FY 2025-2026</v>
      </c>
      <c r="M22" s="3" t="str">
        <f t="shared" si="14"/>
        <v>FY 2026-2027</v>
      </c>
      <c r="N22" s="3" t="str">
        <f t="shared" si="14"/>
        <v>FY 2027-2028</v>
      </c>
      <c r="O22" s="3" t="str">
        <f t="shared" si="14"/>
        <v>FY 2027-2028</v>
      </c>
      <c r="P22" s="3" t="str">
        <f t="shared" si="14"/>
        <v>FY 2028-2029</v>
      </c>
    </row>
    <row r="23" spans="1:16" s="2" customFormat="1" hidden="1" outlineLevel="1" x14ac:dyDescent="0.25">
      <c r="A23" s="16"/>
      <c r="B23" s="2" t="s">
        <v>366</v>
      </c>
      <c r="D23" s="329">
        <f>1-CSO!D23</f>
        <v>0.7</v>
      </c>
      <c r="E23" s="6">
        <f>(0.5*(E17*Revenue!D8)*$D23)+(0.5*(E182*Revenue!D8)*$D23)</f>
        <v>947379.99999999988</v>
      </c>
      <c r="F23" s="6">
        <f>(0.5*(F17*Revenue!E8)*$D23)+(0.5*(F182*Revenue!E8)*$D23)</f>
        <v>973575.05700000003</v>
      </c>
      <c r="G23" s="6">
        <f>(0.5*(G17*Revenue!F8)*$D23)+(0.5*(G182*Revenue!F8)*$D23)</f>
        <v>1000109.74973</v>
      </c>
      <c r="H23" s="6">
        <f>(0.5*(H17*Revenue!G8)*$D23)+(0.5*(H182*Revenue!G8)*$D23)</f>
        <v>1026987.6992539939</v>
      </c>
      <c r="I23" s="6">
        <f>(0.5*(I17*Revenue!H8)*$D23)+(0.5*(I182*Revenue!H8)*$D23)</f>
        <v>1054212.5618474253</v>
      </c>
      <c r="J23" s="6">
        <f>(0.5*(J17*Revenue!I8)*$D23)+(0.5*(J182*Revenue!I8)*$D23)</f>
        <v>1081788.0293216752</v>
      </c>
      <c r="K23" s="6">
        <f>(0.5*(K17*Revenue!J8)*$D23)+(0.5*(K182*Revenue!J8)*$D23)</f>
        <v>1109717.8293514349</v>
      </c>
      <c r="L23" s="6">
        <f>(0.5*(L17*Revenue!K8)*$D23)+(0.5*(L182*Revenue!K8)*$D23)</f>
        <v>1138005.7258049916</v>
      </c>
      <c r="M23" s="6">
        <f>(0.5*(M17*Revenue!L8)*$D23)+(0.5*(M182*Revenue!L8)*$D23)</f>
        <v>1171684.2066596809</v>
      </c>
      <c r="N23" s="6">
        <f>(0.5*(N17*Revenue!M8)*$D23)+(0.5*(N182*Revenue!M8)*$D23)</f>
        <v>1205803.8519051143</v>
      </c>
      <c r="O23" s="6">
        <f>(0.5*(O17*Revenue!N8)*$D23)+(0.5*(O182*Revenue!N8)*$D23)</f>
        <v>1240369.3845926044</v>
      </c>
      <c r="P23" s="6">
        <f>(0.5*(P17*Revenue!O8)*$D23)+(0.5*(P182*Revenue!O8)*$D23)</f>
        <v>1275385.5738037373</v>
      </c>
    </row>
    <row r="24" spans="1:16" s="2" customFormat="1" collapsed="1" x14ac:dyDescent="0.25">
      <c r="A24" s="16"/>
      <c r="B24" s="16" t="s">
        <v>427</v>
      </c>
      <c r="D24" s="325"/>
      <c r="E24" s="174">
        <f t="shared" ref="E24:P24" si="15">SUM(E23:E23)</f>
        <v>947379.99999999988</v>
      </c>
      <c r="F24" s="174">
        <f t="shared" si="15"/>
        <v>973575.05700000003</v>
      </c>
      <c r="G24" s="174">
        <f t="shared" si="15"/>
        <v>1000109.74973</v>
      </c>
      <c r="H24" s="174">
        <f t="shared" si="15"/>
        <v>1026987.6992539939</v>
      </c>
      <c r="I24" s="174">
        <f t="shared" si="15"/>
        <v>1054212.5618474253</v>
      </c>
      <c r="J24" s="174">
        <f t="shared" si="15"/>
        <v>1081788.0293216752</v>
      </c>
      <c r="K24" s="174">
        <f t="shared" si="15"/>
        <v>1109717.8293514349</v>
      </c>
      <c r="L24" s="174">
        <f t="shared" si="15"/>
        <v>1138005.7258049916</v>
      </c>
      <c r="M24" s="174">
        <f t="shared" si="15"/>
        <v>1171684.2066596809</v>
      </c>
      <c r="N24" s="174">
        <f t="shared" si="15"/>
        <v>1205803.8519051143</v>
      </c>
      <c r="O24" s="174">
        <f t="shared" si="15"/>
        <v>1240369.3845926044</v>
      </c>
      <c r="P24" s="174">
        <f t="shared" si="15"/>
        <v>1275385.5738037373</v>
      </c>
    </row>
    <row r="25" spans="1:16" s="2" customFormat="1" hidden="1" outlineLevel="1" x14ac:dyDescent="0.25">
      <c r="A25" s="121"/>
      <c r="B25" s="123" t="s">
        <v>209</v>
      </c>
      <c r="C25" t="s">
        <v>711</v>
      </c>
      <c r="D25" s="327" t="s">
        <v>708</v>
      </c>
      <c r="E25" s="6">
        <f>IF($D25="YES",0,E$17*Revenue!D$12)</f>
        <v>0</v>
      </c>
      <c r="F25" s="6">
        <f>IF($D25="YES",0,F$17*Revenue!E$12)</f>
        <v>0</v>
      </c>
      <c r="G25" s="6">
        <f>IF($D25="YES",0,G$17*Revenue!F$12)</f>
        <v>0</v>
      </c>
      <c r="H25" s="6">
        <f>IF($D25="YES",0,H$17*Revenue!G$12)</f>
        <v>0</v>
      </c>
      <c r="I25" s="6">
        <f>IF($D25="YES",0,I$17*Revenue!H$12)</f>
        <v>0</v>
      </c>
      <c r="J25" s="6">
        <f>IF($D25="YES",0,J$17*Revenue!I$12)</f>
        <v>0</v>
      </c>
      <c r="K25" s="6">
        <f>IF($D25="YES",0,K$17*Revenue!J$12)</f>
        <v>0</v>
      </c>
      <c r="L25" s="6">
        <f>IF($D25="YES",0,L$17*Revenue!K$12)</f>
        <v>0</v>
      </c>
      <c r="M25" s="6">
        <f>IF($D25="YES",0,M$17*Revenue!L$12)</f>
        <v>0</v>
      </c>
      <c r="N25" s="6">
        <f>IF($D25="YES",0,N$17*Revenue!M$12)</f>
        <v>0</v>
      </c>
      <c r="O25" s="6">
        <f>IF($D25="YES",0,O$17*Revenue!N$12)</f>
        <v>0</v>
      </c>
      <c r="P25" s="6">
        <f>IF($D25="YES",0,P$17*Revenue!O$12)</f>
        <v>0</v>
      </c>
    </row>
    <row r="26" spans="1:16" s="2" customFormat="1" hidden="1" outlineLevel="1" x14ac:dyDescent="0.25">
      <c r="A26" s="121"/>
      <c r="B26" s="6" t="s">
        <v>151</v>
      </c>
      <c r="E26" s="6">
        <f>E$17*Revenue!D$18</f>
        <v>0</v>
      </c>
      <c r="F26" s="6">
        <f>F$17*Revenue!E$18</f>
        <v>0</v>
      </c>
      <c r="G26" s="6">
        <f>G$17*Revenue!F$18</f>
        <v>0</v>
      </c>
      <c r="H26" s="6">
        <f>H$17*Revenue!G$18</f>
        <v>0</v>
      </c>
      <c r="I26" s="6">
        <f>I$17*Revenue!H$18</f>
        <v>0</v>
      </c>
      <c r="J26" s="6">
        <f>J$17*Revenue!I$18</f>
        <v>0</v>
      </c>
      <c r="K26" s="6">
        <f>K$17*Revenue!J$18</f>
        <v>0</v>
      </c>
      <c r="L26" s="6">
        <f>L$17*Revenue!K$18</f>
        <v>0</v>
      </c>
      <c r="M26" s="6">
        <f>M$17*Revenue!L$18</f>
        <v>0</v>
      </c>
      <c r="N26" s="6">
        <f>N$17*Revenue!M$18</f>
        <v>0</v>
      </c>
      <c r="O26" s="6">
        <f>O$17*Revenue!N$18</f>
        <v>0</v>
      </c>
      <c r="P26" s="6">
        <f>P$17*Revenue!O$18</f>
        <v>0</v>
      </c>
    </row>
    <row r="27" spans="1:16" s="2" customFormat="1" hidden="1" outlineLevel="1" x14ac:dyDescent="0.25">
      <c r="A27" s="121"/>
      <c r="B27" s="6" t="s">
        <v>681</v>
      </c>
      <c r="C27" t="s">
        <v>711</v>
      </c>
      <c r="D27" s="327" t="str">
        <f>Assumptions!B15</f>
        <v>YES</v>
      </c>
      <c r="E27" s="6">
        <f>IF($D27="YES",0,E$17*Revenue!D$19)</f>
        <v>0</v>
      </c>
      <c r="F27" s="6">
        <f>IF($D27="YES",0,F$17*Revenue!E$19)</f>
        <v>0</v>
      </c>
      <c r="G27" s="6">
        <f>IF($D27="YES",0,G$17*Revenue!F$19)</f>
        <v>0</v>
      </c>
      <c r="H27" s="6">
        <f>IF($D27="YES",0,H$17*Revenue!G$19)</f>
        <v>0</v>
      </c>
      <c r="I27" s="6">
        <f>IF($D27="YES",0,I$17*Revenue!H$19)</f>
        <v>0</v>
      </c>
      <c r="J27" s="6">
        <f>IF($D27="YES",0,J$17*Revenue!I$19)</f>
        <v>0</v>
      </c>
      <c r="K27" s="6">
        <f>IF($D27="YES",0,K$17*Revenue!J$19)</f>
        <v>0</v>
      </c>
      <c r="L27" s="6">
        <f>IF($D27="YES",0,L$17*Revenue!K$19)</f>
        <v>0</v>
      </c>
      <c r="M27" s="6">
        <f>IF($D27="YES",0,M$17*Revenue!L$19)</f>
        <v>0</v>
      </c>
      <c r="N27" s="6">
        <f>IF($D27="YES",0,N$17*Revenue!M$19)</f>
        <v>0</v>
      </c>
      <c r="O27" s="6">
        <f>IF($D27="YES",0,O$17*Revenue!N$19)</f>
        <v>0</v>
      </c>
      <c r="P27" s="6">
        <f>IF($D27="YES",0,P$17*Revenue!O$19)</f>
        <v>0</v>
      </c>
    </row>
    <row r="28" spans="1:16" s="2" customFormat="1" hidden="1" outlineLevel="1" x14ac:dyDescent="0.25">
      <c r="A28" s="121"/>
      <c r="B28" s="6" t="s">
        <v>369</v>
      </c>
      <c r="D28" s="82"/>
      <c r="E28" s="32">
        <f>E125*0.5</f>
        <v>0</v>
      </c>
      <c r="F28" s="32">
        <f t="shared" ref="F28:P28" si="16">F125*0.5</f>
        <v>0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0</v>
      </c>
      <c r="K28" s="32">
        <f t="shared" si="16"/>
        <v>0</v>
      </c>
      <c r="L28" s="32">
        <f t="shared" si="16"/>
        <v>0</v>
      </c>
      <c r="M28" s="32">
        <f t="shared" si="16"/>
        <v>0</v>
      </c>
      <c r="N28" s="32">
        <f t="shared" si="16"/>
        <v>0</v>
      </c>
      <c r="O28" s="32">
        <f t="shared" si="16"/>
        <v>0</v>
      </c>
      <c r="P28" s="32">
        <f t="shared" si="16"/>
        <v>0</v>
      </c>
    </row>
    <row r="29" spans="1:16" s="2" customFormat="1" collapsed="1" x14ac:dyDescent="0.25">
      <c r="A29" s="121"/>
      <c r="B29" s="16" t="s">
        <v>428</v>
      </c>
      <c r="E29" s="174">
        <f t="shared" ref="E29:P29" si="17">SUM(E25:E28)</f>
        <v>0</v>
      </c>
      <c r="F29" s="174">
        <f t="shared" si="17"/>
        <v>0</v>
      </c>
      <c r="G29" s="174">
        <f t="shared" si="17"/>
        <v>0</v>
      </c>
      <c r="H29" s="174">
        <f t="shared" si="17"/>
        <v>0</v>
      </c>
      <c r="I29" s="174">
        <f t="shared" si="17"/>
        <v>0</v>
      </c>
      <c r="J29" s="174">
        <f t="shared" si="17"/>
        <v>0</v>
      </c>
      <c r="K29" s="174">
        <f t="shared" si="17"/>
        <v>0</v>
      </c>
      <c r="L29" s="174">
        <f t="shared" si="17"/>
        <v>0</v>
      </c>
      <c r="M29" s="174">
        <f t="shared" si="17"/>
        <v>0</v>
      </c>
      <c r="N29" s="174">
        <f t="shared" si="17"/>
        <v>0</v>
      </c>
      <c r="O29" s="174">
        <f t="shared" si="17"/>
        <v>0</v>
      </c>
      <c r="P29" s="174">
        <f t="shared" si="17"/>
        <v>0</v>
      </c>
    </row>
    <row r="30" spans="1:16" s="2" customFormat="1" hidden="1" outlineLevel="1" x14ac:dyDescent="0.25">
      <c r="A30" s="16"/>
      <c r="B30" s="127" t="s">
        <v>155</v>
      </c>
      <c r="C30" t="s">
        <v>711</v>
      </c>
      <c r="D30" s="327" t="s">
        <v>708</v>
      </c>
      <c r="E30" s="6">
        <f>IF($D30="YES",0,E$17*Revenue!D$17)</f>
        <v>0</v>
      </c>
      <c r="F30" s="6">
        <f>IF($D30="YES",0,F$17*Revenue!E$17)</f>
        <v>0</v>
      </c>
      <c r="G30" s="6">
        <f>IF($D30="YES",0,G$17*Revenue!F$17)</f>
        <v>0</v>
      </c>
      <c r="H30" s="6">
        <f>IF($D30="YES",0,H$17*Revenue!G$17)</f>
        <v>0</v>
      </c>
      <c r="I30" s="6">
        <f>IF($D30="YES",0,I$17*Revenue!H$17)</f>
        <v>0</v>
      </c>
      <c r="J30" s="6">
        <f>IF($D30="YES",0,J$17*Revenue!I$17)</f>
        <v>0</v>
      </c>
      <c r="K30" s="6">
        <f>IF($D30="YES",0,K$17*Revenue!J$17)</f>
        <v>0</v>
      </c>
      <c r="L30" s="6">
        <f>IF($D30="YES",0,L$17*Revenue!K$17)</f>
        <v>0</v>
      </c>
      <c r="M30" s="6">
        <f>IF($D30="YES",0,M$17*Revenue!L$17)</f>
        <v>0</v>
      </c>
      <c r="N30" s="6">
        <f>IF($D30="YES",0,N$17*Revenue!M$17)</f>
        <v>0</v>
      </c>
      <c r="O30" s="6">
        <f>IF($D30="YES",0,O$17*Revenue!N$17)</f>
        <v>0</v>
      </c>
      <c r="P30" s="6">
        <f>IF($D30="YES",0,P$17*Revenue!O$17)</f>
        <v>0</v>
      </c>
    </row>
    <row r="31" spans="1:16" s="2" customFormat="1" hidden="1" outlineLevel="1" x14ac:dyDescent="0.25">
      <c r="A31" s="16"/>
      <c r="B31" s="2" t="s">
        <v>363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idden="1" outlineLevel="1" x14ac:dyDescent="0.25">
      <c r="A32" s="16"/>
      <c r="B32" s="2" t="s">
        <v>364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idden="1" outlineLevel="1" x14ac:dyDescent="0.25">
      <c r="A33" s="16"/>
      <c r="B33" s="2" t="s">
        <v>365</v>
      </c>
      <c r="E33" s="107"/>
      <c r="F33" s="107"/>
      <c r="G33" s="107"/>
      <c r="H33" s="107"/>
      <c r="I33" s="6">
        <f>+MIN(I18*Revenue!H15,0.75*I116)</f>
        <v>0</v>
      </c>
      <c r="J33" s="6">
        <f>+MIN(J18*Revenue!I15,0.75*J116)</f>
        <v>0</v>
      </c>
      <c r="K33" s="6">
        <f>+MIN(K18*Revenue!J15,0.75*K116)</f>
        <v>0</v>
      </c>
      <c r="L33" s="6">
        <f>+MIN(L18*Revenue!K15,0.75*L116)</f>
        <v>0</v>
      </c>
      <c r="M33" s="6">
        <f>+MIN(M18*Revenue!L15,0.75*M116)</f>
        <v>0</v>
      </c>
      <c r="N33" s="6">
        <f>+MIN(N18*Revenue!M15,0.75*N116)</f>
        <v>0</v>
      </c>
      <c r="O33" s="6">
        <f>+MIN(O18*Revenue!N15,0.75*O116)</f>
        <v>0</v>
      </c>
      <c r="P33" s="6">
        <f>+MIN(P18*Revenue!O15,0.75*P116)</f>
        <v>0</v>
      </c>
    </row>
    <row r="34" spans="1:16" s="2" customFormat="1" collapsed="1" x14ac:dyDescent="0.25">
      <c r="A34" s="16"/>
      <c r="B34" s="16" t="s">
        <v>208</v>
      </c>
      <c r="E34" s="174">
        <f t="shared" ref="E34:P34" si="18">SUM(E30:E33)</f>
        <v>0</v>
      </c>
      <c r="F34" s="174">
        <f t="shared" si="18"/>
        <v>0</v>
      </c>
      <c r="G34" s="174">
        <f t="shared" si="18"/>
        <v>0</v>
      </c>
      <c r="H34" s="174">
        <f t="shared" si="18"/>
        <v>0</v>
      </c>
      <c r="I34" s="174">
        <f t="shared" si="18"/>
        <v>0</v>
      </c>
      <c r="J34" s="174">
        <f t="shared" si="18"/>
        <v>0</v>
      </c>
      <c r="K34" s="174">
        <f t="shared" si="18"/>
        <v>0</v>
      </c>
      <c r="L34" s="174">
        <f t="shared" si="18"/>
        <v>0</v>
      </c>
      <c r="M34" s="174">
        <f t="shared" si="18"/>
        <v>0</v>
      </c>
      <c r="N34" s="174">
        <f t="shared" si="18"/>
        <v>0</v>
      </c>
      <c r="O34" s="174">
        <f t="shared" si="18"/>
        <v>0</v>
      </c>
      <c r="P34" s="174">
        <f t="shared" si="18"/>
        <v>0</v>
      </c>
    </row>
    <row r="35" spans="1:16" s="2" customFormat="1" hidden="1" outlineLevel="1" x14ac:dyDescent="0.25">
      <c r="A35" s="16"/>
      <c r="B35" s="6" t="s">
        <v>271</v>
      </c>
      <c r="D35" s="82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s="2" customFormat="1" hidden="1" outlineLevel="1" x14ac:dyDescent="0.25">
      <c r="A36" s="16"/>
      <c r="B36" s="2" t="s">
        <v>364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</row>
    <row r="37" spans="1:16" s="2" customFormat="1" hidden="1" outlineLevel="1" x14ac:dyDescent="0.25">
      <c r="A37" s="16"/>
      <c r="B37" s="2" t="s">
        <v>365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s="2" customFormat="1" collapsed="1" x14ac:dyDescent="0.25">
      <c r="A38" s="16"/>
      <c r="B38" s="16" t="s">
        <v>429</v>
      </c>
      <c r="E38" s="174">
        <f>SUM(E35:E37)</f>
        <v>0</v>
      </c>
      <c r="F38" s="174">
        <f t="shared" ref="F38:P38" si="19">SUM(F35:F37)</f>
        <v>0</v>
      </c>
      <c r="G38" s="174">
        <f t="shared" si="19"/>
        <v>0</v>
      </c>
      <c r="H38" s="174">
        <f t="shared" si="19"/>
        <v>0</v>
      </c>
      <c r="I38" s="174">
        <f t="shared" si="19"/>
        <v>0</v>
      </c>
      <c r="J38" s="174">
        <f t="shared" si="19"/>
        <v>0</v>
      </c>
      <c r="K38" s="174">
        <f t="shared" si="19"/>
        <v>0</v>
      </c>
      <c r="L38" s="174">
        <f t="shared" si="19"/>
        <v>0</v>
      </c>
      <c r="M38" s="174">
        <f t="shared" si="19"/>
        <v>0</v>
      </c>
      <c r="N38" s="174">
        <f t="shared" si="19"/>
        <v>0</v>
      </c>
      <c r="O38" s="174">
        <f t="shared" si="19"/>
        <v>0</v>
      </c>
      <c r="P38" s="174">
        <f t="shared" si="19"/>
        <v>0</v>
      </c>
    </row>
    <row r="39" spans="1:16" s="2" customFormat="1" ht="15.75" thickBot="1" x14ac:dyDescent="0.3">
      <c r="A39" s="16" t="s">
        <v>210</v>
      </c>
      <c r="E39" s="131">
        <f>E34+E29+E24+E38</f>
        <v>947379.99999999988</v>
      </c>
      <c r="F39" s="131">
        <f t="shared" ref="F39:P39" si="20">F34+F29+F24+F38</f>
        <v>973575.05700000003</v>
      </c>
      <c r="G39" s="131">
        <f t="shared" si="20"/>
        <v>1000109.74973</v>
      </c>
      <c r="H39" s="131">
        <f t="shared" si="20"/>
        <v>1026987.6992539939</v>
      </c>
      <c r="I39" s="131">
        <f t="shared" si="20"/>
        <v>1054212.5618474253</v>
      </c>
      <c r="J39" s="131">
        <f t="shared" si="20"/>
        <v>1081788.0293216752</v>
      </c>
      <c r="K39" s="131">
        <f t="shared" si="20"/>
        <v>1109717.8293514349</v>
      </c>
      <c r="L39" s="131">
        <f t="shared" si="20"/>
        <v>1138005.7258049916</v>
      </c>
      <c r="M39" s="131">
        <f t="shared" si="20"/>
        <v>1171684.2066596809</v>
      </c>
      <c r="N39" s="131">
        <f t="shared" si="20"/>
        <v>1205803.8519051143</v>
      </c>
      <c r="O39" s="131">
        <f t="shared" si="20"/>
        <v>1240369.3845926044</v>
      </c>
      <c r="P39" s="131">
        <f t="shared" si="20"/>
        <v>1275385.5738037373</v>
      </c>
    </row>
    <row r="40" spans="1:16" s="2" customFormat="1" ht="15.75" thickTop="1" x14ac:dyDescent="0.25"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x14ac:dyDescent="0.25">
      <c r="A41" s="3" t="s">
        <v>24</v>
      </c>
      <c r="B41" s="3" t="s">
        <v>25</v>
      </c>
      <c r="E41" s="3" t="str">
        <f t="shared" ref="E41:P41" si="21">E3</f>
        <v>FY 2018-2019</v>
      </c>
      <c r="F41" s="3" t="str">
        <f t="shared" si="21"/>
        <v>FY 2019-2020</v>
      </c>
      <c r="G41" s="3" t="str">
        <f t="shared" si="21"/>
        <v>FY 2020-2021</v>
      </c>
      <c r="H41" s="3" t="str">
        <f t="shared" si="21"/>
        <v>FY 2021-2022</v>
      </c>
      <c r="I41" s="3" t="str">
        <f t="shared" si="21"/>
        <v>FY 2022-2023</v>
      </c>
      <c r="J41" s="3" t="str">
        <f t="shared" si="21"/>
        <v>FY 2023-2024</v>
      </c>
      <c r="K41" s="3" t="str">
        <f t="shared" si="21"/>
        <v>FY 2024-2025</v>
      </c>
      <c r="L41" s="3" t="str">
        <f t="shared" si="21"/>
        <v>FY 2025-2026</v>
      </c>
      <c r="M41" s="3" t="str">
        <f t="shared" si="21"/>
        <v>FY 2026-2027</v>
      </c>
      <c r="N41" s="3" t="str">
        <f t="shared" si="21"/>
        <v>FY 2027-2028</v>
      </c>
      <c r="O41" s="3" t="str">
        <f t="shared" si="21"/>
        <v>FY 2027-2028</v>
      </c>
      <c r="P41" s="3" t="str">
        <f t="shared" si="21"/>
        <v>FY 2028-2029</v>
      </c>
    </row>
    <row r="42" spans="1:16" s="2" customFormat="1" hidden="1" outlineLevel="2" x14ac:dyDescent="0.25">
      <c r="A42" s="62" t="s">
        <v>401</v>
      </c>
      <c r="B42" s="18" t="s">
        <v>372</v>
      </c>
      <c r="C42" s="195" t="s">
        <v>750</v>
      </c>
      <c r="D42" s="331">
        <v>1.144827</v>
      </c>
      <c r="E42" s="294">
        <f>IF(E$182=0,0,SUMIFS(E$209:E$217,$A$209:$A$217,$A42))*$D42</f>
        <v>0</v>
      </c>
      <c r="F42" s="294">
        <f t="shared" ref="F42:P42" si="22">IF(F$182=0,0,SUMIFS(F$209:F$217,$A$209:$A$217,$A42))*$D42</f>
        <v>0</v>
      </c>
      <c r="G42" s="294">
        <f t="shared" si="22"/>
        <v>0</v>
      </c>
      <c r="H42" s="294">
        <f t="shared" si="22"/>
        <v>0</v>
      </c>
      <c r="I42" s="294">
        <f t="shared" si="22"/>
        <v>0</v>
      </c>
      <c r="J42" s="294">
        <f t="shared" si="22"/>
        <v>0</v>
      </c>
      <c r="K42" s="294">
        <f t="shared" si="22"/>
        <v>0</v>
      </c>
      <c r="L42" s="294">
        <f t="shared" si="22"/>
        <v>0</v>
      </c>
      <c r="M42" s="294">
        <f t="shared" si="22"/>
        <v>0</v>
      </c>
      <c r="N42" s="294">
        <f t="shared" si="22"/>
        <v>0</v>
      </c>
      <c r="O42" s="294">
        <f t="shared" si="22"/>
        <v>0</v>
      </c>
      <c r="P42" s="294">
        <f t="shared" si="22"/>
        <v>0</v>
      </c>
    </row>
    <row r="43" spans="1:16" s="2" customFormat="1" hidden="1" outlineLevel="2" x14ac:dyDescent="0.25">
      <c r="A43" s="62" t="s">
        <v>402</v>
      </c>
      <c r="B43" s="18" t="s">
        <v>372</v>
      </c>
      <c r="C43" s="195" t="s">
        <v>751</v>
      </c>
      <c r="D43" s="332">
        <v>1.1299999999999999E-2</v>
      </c>
      <c r="E43" s="107">
        <f>SUMIFS(E$209:E$217,$A$209:$A$217,$A43)*(1-$D43)</f>
        <v>54378.5</v>
      </c>
      <c r="F43" s="107">
        <f t="shared" ref="F43:P43" si="23">SUMIFS(F$209:F$217,$A$209:$A$217,$A43)*(1-$D43)</f>
        <v>55466.07</v>
      </c>
      <c r="G43" s="107">
        <f t="shared" si="23"/>
        <v>56553.64</v>
      </c>
      <c r="H43" s="107">
        <f t="shared" si="23"/>
        <v>57641.21</v>
      </c>
      <c r="I43" s="107">
        <f t="shared" si="23"/>
        <v>58728.780000000006</v>
      </c>
      <c r="J43" s="107">
        <f t="shared" si="23"/>
        <v>59816.350000000006</v>
      </c>
      <c r="K43" s="107">
        <f t="shared" si="23"/>
        <v>60903.920000000006</v>
      </c>
      <c r="L43" s="107">
        <f t="shared" si="23"/>
        <v>61991.490000000005</v>
      </c>
      <c r="M43" s="107">
        <f t="shared" si="23"/>
        <v>63079.06</v>
      </c>
      <c r="N43" s="107">
        <f t="shared" si="23"/>
        <v>64166.630000000005</v>
      </c>
      <c r="O43" s="107">
        <f t="shared" si="23"/>
        <v>65254.200000000004</v>
      </c>
      <c r="P43" s="107">
        <f t="shared" si="23"/>
        <v>66341.77</v>
      </c>
    </row>
    <row r="44" spans="1:16" s="2" customFormat="1" hidden="1" outlineLevel="1" x14ac:dyDescent="0.25">
      <c r="A44" s="195">
        <v>6111</v>
      </c>
      <c r="B44" s="74" t="s">
        <v>405</v>
      </c>
      <c r="C44" s="18"/>
      <c r="E44" s="107">
        <f>SUM(E42:E43)</f>
        <v>54378.5</v>
      </c>
      <c r="F44" s="107">
        <f t="shared" ref="F44:P44" si="24">SUM(F42:F43)</f>
        <v>55466.07</v>
      </c>
      <c r="G44" s="107">
        <f t="shared" si="24"/>
        <v>56553.64</v>
      </c>
      <c r="H44" s="107">
        <f t="shared" si="24"/>
        <v>57641.21</v>
      </c>
      <c r="I44" s="107">
        <f t="shared" si="24"/>
        <v>58728.780000000006</v>
      </c>
      <c r="J44" s="107">
        <f t="shared" si="24"/>
        <v>59816.350000000006</v>
      </c>
      <c r="K44" s="107">
        <f t="shared" si="24"/>
        <v>60903.920000000006</v>
      </c>
      <c r="L44" s="107">
        <f t="shared" si="24"/>
        <v>61991.490000000005</v>
      </c>
      <c r="M44" s="107">
        <f t="shared" si="24"/>
        <v>63079.06</v>
      </c>
      <c r="N44" s="107">
        <f t="shared" si="24"/>
        <v>64166.630000000005</v>
      </c>
      <c r="O44" s="107">
        <f t="shared" si="24"/>
        <v>65254.200000000004</v>
      </c>
      <c r="P44" s="107">
        <f t="shared" si="24"/>
        <v>66341.77</v>
      </c>
    </row>
    <row r="45" spans="1:16" s="2" customFormat="1" hidden="1" outlineLevel="2" x14ac:dyDescent="0.25">
      <c r="A45" s="195" t="s">
        <v>403</v>
      </c>
      <c r="B45" s="74" t="s">
        <v>382</v>
      </c>
      <c r="C45" s="195" t="s">
        <v>750</v>
      </c>
      <c r="D45" s="331">
        <v>1.144827</v>
      </c>
      <c r="E45" s="107">
        <f>IF(E$182=0,0,SUMIFS(E$209:E$217,$A$209:$A$217,$A45))*$D45</f>
        <v>0</v>
      </c>
      <c r="F45" s="107">
        <f t="shared" ref="F45:P45" si="25">IF(F$182=0,0,SUMIFS(F$209:F$217,$A$209:$A$217,$A45))*$D45</f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</row>
    <row r="46" spans="1:16" s="2" customFormat="1" hidden="1" outlineLevel="2" x14ac:dyDescent="0.25">
      <c r="A46" s="195" t="s">
        <v>404</v>
      </c>
      <c r="B46" s="74" t="s">
        <v>382</v>
      </c>
      <c r="C46" s="195" t="s">
        <v>751</v>
      </c>
      <c r="D46" s="332">
        <v>1.1299999999999999E-2</v>
      </c>
      <c r="E46" s="107">
        <f>SUMIFS(E$209:E$217,$A$209:$A$217,$A46)*(1-$D46)</f>
        <v>88983</v>
      </c>
      <c r="F46" s="107">
        <f t="shared" ref="F46:P46" si="26">SUMIFS(F$209:F$217,$A$209:$A$217,$A46)*(1-$D46)</f>
        <v>90762.66</v>
      </c>
      <c r="G46" s="107">
        <f t="shared" si="26"/>
        <v>92542.32</v>
      </c>
      <c r="H46" s="107">
        <f t="shared" si="26"/>
        <v>94321.98</v>
      </c>
      <c r="I46" s="107">
        <f t="shared" si="26"/>
        <v>96101.64</v>
      </c>
      <c r="J46" s="107">
        <f t="shared" si="26"/>
        <v>97881.300000000017</v>
      </c>
      <c r="K46" s="107">
        <f t="shared" si="26"/>
        <v>99660.960000000021</v>
      </c>
      <c r="L46" s="107">
        <f t="shared" si="26"/>
        <v>101440.62000000001</v>
      </c>
      <c r="M46" s="107">
        <f t="shared" si="26"/>
        <v>103220.28</v>
      </c>
      <c r="N46" s="107">
        <f t="shared" si="26"/>
        <v>104999.94</v>
      </c>
      <c r="O46" s="107">
        <f t="shared" si="26"/>
        <v>106779.6</v>
      </c>
      <c r="P46" s="107">
        <f t="shared" si="26"/>
        <v>108559.26000000001</v>
      </c>
    </row>
    <row r="47" spans="1:16" s="2" customFormat="1" hidden="1" outlineLevel="1" x14ac:dyDescent="0.25">
      <c r="A47" s="195">
        <v>6114</v>
      </c>
      <c r="B47" s="74" t="s">
        <v>406</v>
      </c>
      <c r="C47" s="18"/>
      <c r="D47" s="179"/>
      <c r="E47" s="107">
        <f>SUM(E45:E46)</f>
        <v>88983</v>
      </c>
      <c r="F47" s="107">
        <f t="shared" ref="F47:P47" si="27">SUM(F45:F46)</f>
        <v>90762.66</v>
      </c>
      <c r="G47" s="107">
        <f t="shared" si="27"/>
        <v>92542.32</v>
      </c>
      <c r="H47" s="107">
        <f t="shared" si="27"/>
        <v>94321.98</v>
      </c>
      <c r="I47" s="107">
        <f t="shared" si="27"/>
        <v>96101.64</v>
      </c>
      <c r="J47" s="107">
        <f t="shared" si="27"/>
        <v>97881.300000000017</v>
      </c>
      <c r="K47" s="107">
        <f t="shared" si="27"/>
        <v>99660.960000000021</v>
      </c>
      <c r="L47" s="107">
        <f t="shared" si="27"/>
        <v>101440.62000000001</v>
      </c>
      <c r="M47" s="107">
        <f t="shared" si="27"/>
        <v>103220.28</v>
      </c>
      <c r="N47" s="107">
        <f t="shared" si="27"/>
        <v>104999.94</v>
      </c>
      <c r="O47" s="107">
        <f t="shared" si="27"/>
        <v>106779.6</v>
      </c>
      <c r="P47" s="107">
        <f t="shared" si="27"/>
        <v>108559.26000000001</v>
      </c>
    </row>
    <row r="48" spans="1:16" s="2" customFormat="1" hidden="1" outlineLevel="2" x14ac:dyDescent="0.25">
      <c r="A48" s="195" t="s">
        <v>407</v>
      </c>
      <c r="B48" s="74" t="s">
        <v>377</v>
      </c>
      <c r="C48" s="195" t="s">
        <v>750</v>
      </c>
      <c r="D48" s="331">
        <v>1.144827</v>
      </c>
      <c r="E48" s="107">
        <f>IF(E$182=0,0,SUMIFS(E$209:E$217,$A$209:$A$217,$A48))*$D48</f>
        <v>45793.08</v>
      </c>
      <c r="F48" s="107">
        <f t="shared" ref="F48:P48" si="28">IF(F$182=0,0,SUMIFS(F$209:F$217,$A$209:$A$217,$A48))*$D48</f>
        <v>46708.941599999998</v>
      </c>
      <c r="G48" s="107">
        <f t="shared" si="28"/>
        <v>47624.803200000002</v>
      </c>
      <c r="H48" s="107">
        <f t="shared" si="28"/>
        <v>48540.664799999999</v>
      </c>
      <c r="I48" s="107">
        <f t="shared" si="28"/>
        <v>49456.526400000002</v>
      </c>
      <c r="J48" s="107">
        <f t="shared" si="28"/>
        <v>50372.387999999999</v>
      </c>
      <c r="K48" s="107">
        <f t="shared" si="28"/>
        <v>51288.24960000001</v>
      </c>
      <c r="L48" s="107">
        <f t="shared" si="28"/>
        <v>52204.111200000007</v>
      </c>
      <c r="M48" s="107">
        <f t="shared" si="28"/>
        <v>53119.972800000003</v>
      </c>
      <c r="N48" s="107">
        <f t="shared" si="28"/>
        <v>54035.8344</v>
      </c>
      <c r="O48" s="107">
        <f t="shared" si="28"/>
        <v>54951.696000000004</v>
      </c>
      <c r="P48" s="107">
        <f t="shared" si="28"/>
        <v>55867.5576</v>
      </c>
    </row>
    <row r="49" spans="1:16" s="2" customFormat="1" hidden="1" outlineLevel="2" x14ac:dyDescent="0.25">
      <c r="A49" s="195" t="s">
        <v>408</v>
      </c>
      <c r="B49" s="74" t="s">
        <v>377</v>
      </c>
      <c r="C49" s="195" t="s">
        <v>751</v>
      </c>
      <c r="D49" s="332">
        <v>1.1299999999999999E-2</v>
      </c>
      <c r="E49" s="107">
        <f>SUMIFS(E$209:E$217,$A$209:$A$217,$A49)*(1-$D49)</f>
        <v>0</v>
      </c>
      <c r="F49" s="107">
        <f t="shared" ref="F49:P49" si="29">SUMIFS(F$209:F$217,$A$209:$A$217,$A49)*(1-$D49)</f>
        <v>0</v>
      </c>
      <c r="G49" s="107">
        <f t="shared" si="29"/>
        <v>0</v>
      </c>
      <c r="H49" s="107">
        <f t="shared" si="29"/>
        <v>0</v>
      </c>
      <c r="I49" s="107">
        <f t="shared" si="29"/>
        <v>0</v>
      </c>
      <c r="J49" s="107">
        <f t="shared" si="29"/>
        <v>0</v>
      </c>
      <c r="K49" s="107">
        <f t="shared" si="29"/>
        <v>0</v>
      </c>
      <c r="L49" s="107">
        <f t="shared" si="29"/>
        <v>0</v>
      </c>
      <c r="M49" s="107">
        <f t="shared" si="29"/>
        <v>0</v>
      </c>
      <c r="N49" s="107">
        <f t="shared" si="29"/>
        <v>0</v>
      </c>
      <c r="O49" s="107">
        <f t="shared" si="29"/>
        <v>0</v>
      </c>
      <c r="P49" s="107">
        <f t="shared" si="29"/>
        <v>0</v>
      </c>
    </row>
    <row r="50" spans="1:16" s="2" customFormat="1" hidden="1" outlineLevel="1" x14ac:dyDescent="0.25">
      <c r="A50" s="195">
        <v>6117</v>
      </c>
      <c r="B50" s="74" t="s">
        <v>409</v>
      </c>
      <c r="C50" s="18"/>
      <c r="E50" s="107">
        <f>SUM(E48:E49)</f>
        <v>45793.08</v>
      </c>
      <c r="F50" s="107">
        <f t="shared" ref="F50:P50" si="30">SUM(F48:F49)</f>
        <v>46708.941599999998</v>
      </c>
      <c r="G50" s="107">
        <f t="shared" si="30"/>
        <v>47624.803200000002</v>
      </c>
      <c r="H50" s="107">
        <f t="shared" si="30"/>
        <v>48540.664799999999</v>
      </c>
      <c r="I50" s="107">
        <f t="shared" si="30"/>
        <v>49456.526400000002</v>
      </c>
      <c r="J50" s="107">
        <f t="shared" si="30"/>
        <v>50372.387999999999</v>
      </c>
      <c r="K50" s="107">
        <f t="shared" si="30"/>
        <v>51288.24960000001</v>
      </c>
      <c r="L50" s="107">
        <f t="shared" si="30"/>
        <v>52204.111200000007</v>
      </c>
      <c r="M50" s="107">
        <f t="shared" si="30"/>
        <v>53119.972800000003</v>
      </c>
      <c r="N50" s="107">
        <f t="shared" si="30"/>
        <v>54035.8344</v>
      </c>
      <c r="O50" s="107">
        <f t="shared" si="30"/>
        <v>54951.696000000004</v>
      </c>
      <c r="P50" s="107">
        <f t="shared" si="30"/>
        <v>55867.5576</v>
      </c>
    </row>
    <row r="51" spans="1:16" s="2" customFormat="1" hidden="1" outlineLevel="1" x14ac:dyDescent="0.25">
      <c r="A51" s="62">
        <v>6127</v>
      </c>
      <c r="B51" s="18" t="s">
        <v>373</v>
      </c>
      <c r="C51" s="18"/>
      <c r="D51" s="179"/>
      <c r="E51" s="107">
        <f>IF(E$182=0,0,SUMIFS(E$209:E$217,$A$209:$A$217,$A51))</f>
        <v>24000</v>
      </c>
      <c r="F51" s="107">
        <f t="shared" ref="F51:P51" si="31">IF(F$182=0,0,SUMIFS(F$209:F$217,$A$209:$A$217,$A51))</f>
        <v>30600</v>
      </c>
      <c r="G51" s="107">
        <f t="shared" si="31"/>
        <v>31200</v>
      </c>
      <c r="H51" s="107">
        <f t="shared" si="31"/>
        <v>31800</v>
      </c>
      <c r="I51" s="107">
        <f t="shared" si="31"/>
        <v>32400</v>
      </c>
      <c r="J51" s="107">
        <f t="shared" si="31"/>
        <v>33000.000000000007</v>
      </c>
      <c r="K51" s="107">
        <f t="shared" si="31"/>
        <v>33600.000000000007</v>
      </c>
      <c r="L51" s="107">
        <f t="shared" si="31"/>
        <v>34200.000000000007</v>
      </c>
      <c r="M51" s="107">
        <f t="shared" si="31"/>
        <v>34799.999999999993</v>
      </c>
      <c r="N51" s="107">
        <f t="shared" si="31"/>
        <v>35400</v>
      </c>
      <c r="O51" s="107">
        <f t="shared" si="31"/>
        <v>36000</v>
      </c>
      <c r="P51" s="107">
        <f t="shared" si="31"/>
        <v>36600</v>
      </c>
    </row>
    <row r="52" spans="1:16" s="2" customFormat="1" hidden="1" outlineLevel="1" x14ac:dyDescent="0.25">
      <c r="A52" s="62">
        <v>6151</v>
      </c>
      <c r="B52" s="18" t="s">
        <v>374</v>
      </c>
      <c r="C52" s="304" t="s">
        <v>634</v>
      </c>
      <c r="D52" s="85">
        <v>3000</v>
      </c>
      <c r="E52" s="107">
        <f>IF(E$182=0,0,(SUMIFS(E$188:E$196,$A$188:$A$196,$A42)+SUMIFS(E$188:E$196,$A$188:$A$196,$A43))*$D52)</f>
        <v>3000</v>
      </c>
      <c r="F52" s="107">
        <f t="shared" ref="F52:P52" si="32">IF(F$182=0,0,(SUMIFS(F$188:F$196,$A$188:$A$196,$A42)+SUMIFS(F$188:F$196,$A$188:$A$196,$A43))*$D52)</f>
        <v>3000</v>
      </c>
      <c r="G52" s="107">
        <f t="shared" si="32"/>
        <v>3000</v>
      </c>
      <c r="H52" s="107">
        <f t="shared" si="32"/>
        <v>3000</v>
      </c>
      <c r="I52" s="107">
        <f t="shared" si="32"/>
        <v>3000</v>
      </c>
      <c r="J52" s="107">
        <f t="shared" si="32"/>
        <v>3000</v>
      </c>
      <c r="K52" s="107">
        <f t="shared" si="32"/>
        <v>3000</v>
      </c>
      <c r="L52" s="107">
        <f t="shared" si="32"/>
        <v>3000</v>
      </c>
      <c r="M52" s="107">
        <f t="shared" si="32"/>
        <v>3000</v>
      </c>
      <c r="N52" s="107">
        <f t="shared" si="32"/>
        <v>3000</v>
      </c>
      <c r="O52" s="107">
        <f t="shared" si="32"/>
        <v>3000</v>
      </c>
      <c r="P52" s="107">
        <f t="shared" si="32"/>
        <v>3000</v>
      </c>
    </row>
    <row r="53" spans="1:16" s="2" customFormat="1" hidden="1" outlineLevel="1" x14ac:dyDescent="0.25">
      <c r="A53" s="62">
        <v>6154</v>
      </c>
      <c r="B53" s="18" t="s">
        <v>375</v>
      </c>
      <c r="C53" s="304" t="s">
        <v>634</v>
      </c>
      <c r="D53" s="85">
        <v>5500</v>
      </c>
      <c r="E53" s="107">
        <f t="shared" ref="E53:P53" si="33">IF(E$182=0,0,(SUMIFS(E$188:E$196,$A$188:$A$196,$A45)+SUMIFS(E$188:E$196,$A$188:$A$196,$A46))*$D53)</f>
        <v>5500</v>
      </c>
      <c r="F53" s="107">
        <f t="shared" si="33"/>
        <v>5500</v>
      </c>
      <c r="G53" s="107">
        <f t="shared" si="33"/>
        <v>5500</v>
      </c>
      <c r="H53" s="107">
        <f t="shared" si="33"/>
        <v>5500</v>
      </c>
      <c r="I53" s="107">
        <f t="shared" si="33"/>
        <v>5500</v>
      </c>
      <c r="J53" s="107">
        <f t="shared" si="33"/>
        <v>5500</v>
      </c>
      <c r="K53" s="107">
        <f t="shared" si="33"/>
        <v>5500</v>
      </c>
      <c r="L53" s="107">
        <f t="shared" si="33"/>
        <v>5500</v>
      </c>
      <c r="M53" s="107">
        <f t="shared" si="33"/>
        <v>5500</v>
      </c>
      <c r="N53" s="107">
        <f t="shared" si="33"/>
        <v>5500</v>
      </c>
      <c r="O53" s="107">
        <f t="shared" si="33"/>
        <v>5500</v>
      </c>
      <c r="P53" s="107">
        <f t="shared" si="33"/>
        <v>5500</v>
      </c>
    </row>
    <row r="54" spans="1:16" s="2" customFormat="1" hidden="1" outlineLevel="1" x14ac:dyDescent="0.25">
      <c r="A54" s="62">
        <v>6157</v>
      </c>
      <c r="B54" s="18" t="s">
        <v>376</v>
      </c>
      <c r="C54" s="304" t="s">
        <v>634</v>
      </c>
      <c r="D54" s="85">
        <v>3000</v>
      </c>
      <c r="E54" s="32">
        <f>IF(E$182=0,0,(SUMIFS(E$188:E$196,$A$188:$A$196,$A48)+SUMIFS(E$188:E$196,$A$188:$A$196,$A49))*$D54)</f>
        <v>3000</v>
      </c>
      <c r="F54" s="32">
        <f t="shared" ref="F54:P54" si="34">IF(F$182=0,0,(SUMIFS(F$188:F$196,$A$188:$A$196,$A48)+SUMIFS(F$188:F$196,$A$188:$A$196,$A49))*$D54)</f>
        <v>3000</v>
      </c>
      <c r="G54" s="32">
        <f t="shared" si="34"/>
        <v>3000</v>
      </c>
      <c r="H54" s="32">
        <f t="shared" si="34"/>
        <v>3000</v>
      </c>
      <c r="I54" s="32">
        <f t="shared" si="34"/>
        <v>3000</v>
      </c>
      <c r="J54" s="32">
        <f t="shared" si="34"/>
        <v>3000</v>
      </c>
      <c r="K54" s="32">
        <f t="shared" si="34"/>
        <v>3000</v>
      </c>
      <c r="L54" s="32">
        <f t="shared" si="34"/>
        <v>3000</v>
      </c>
      <c r="M54" s="32">
        <f t="shared" si="34"/>
        <v>3000</v>
      </c>
      <c r="N54" s="32">
        <f t="shared" si="34"/>
        <v>3000</v>
      </c>
      <c r="O54" s="32">
        <f t="shared" si="34"/>
        <v>3000</v>
      </c>
      <c r="P54" s="32">
        <f t="shared" si="34"/>
        <v>3000</v>
      </c>
    </row>
    <row r="55" spans="1:16" s="2" customFormat="1" collapsed="1" x14ac:dyDescent="0.25">
      <c r="A55" s="62">
        <v>100</v>
      </c>
      <c r="B55" s="18" t="s">
        <v>371</v>
      </c>
      <c r="C55" s="18"/>
      <c r="E55" s="6">
        <f>E54+E53+E52+E51+E50+E47+E44</f>
        <v>224654.58000000002</v>
      </c>
      <c r="F55" s="6">
        <f t="shared" ref="F55:P55" si="35">F54+F53+F52+F51+F50+F47+F44</f>
        <v>235037.6716</v>
      </c>
      <c r="G55" s="6">
        <f t="shared" si="35"/>
        <v>239420.76319999999</v>
      </c>
      <c r="H55" s="6">
        <f t="shared" si="35"/>
        <v>243803.8548</v>
      </c>
      <c r="I55" s="6">
        <f t="shared" si="35"/>
        <v>248186.94639999999</v>
      </c>
      <c r="J55" s="6">
        <f t="shared" si="35"/>
        <v>252570.03800000003</v>
      </c>
      <c r="K55" s="6">
        <f t="shared" si="35"/>
        <v>256953.12960000004</v>
      </c>
      <c r="L55" s="6">
        <f t="shared" si="35"/>
        <v>261336.22120000003</v>
      </c>
      <c r="M55" s="6">
        <f t="shared" si="35"/>
        <v>265719.31279999996</v>
      </c>
      <c r="N55" s="6">
        <f t="shared" si="35"/>
        <v>270102.4044</v>
      </c>
      <c r="O55" s="6">
        <f t="shared" si="35"/>
        <v>274485.49599999998</v>
      </c>
      <c r="P55" s="6">
        <f t="shared" si="35"/>
        <v>278868.58760000003</v>
      </c>
    </row>
    <row r="56" spans="1:16" s="2" customFormat="1" hidden="1" outlineLevel="1" x14ac:dyDescent="0.25">
      <c r="A56" s="62">
        <v>6211</v>
      </c>
      <c r="B56" s="18" t="s">
        <v>381</v>
      </c>
      <c r="C56" s="95"/>
      <c r="D56" s="95">
        <v>5.4999999999999997E-3</v>
      </c>
      <c r="E56" s="6">
        <f>IF(E$182=0,0,SUMIFS(E$42:E$54,$A$42:$A$54,6111)*$D56)</f>
        <v>299.08175</v>
      </c>
      <c r="F56" s="6">
        <f t="shared" ref="F56:P56" si="36">IF(F$182=0,0,SUMIFS(F$42:F$54,$A$42:$A$54,6111)*$D56)</f>
        <v>305.06338499999998</v>
      </c>
      <c r="G56" s="6">
        <f t="shared" si="36"/>
        <v>311.04501999999997</v>
      </c>
      <c r="H56" s="6">
        <f t="shared" si="36"/>
        <v>317.02665500000001</v>
      </c>
      <c r="I56" s="6">
        <f t="shared" si="36"/>
        <v>323.00828999999999</v>
      </c>
      <c r="J56" s="6">
        <f t="shared" si="36"/>
        <v>328.98992500000003</v>
      </c>
      <c r="K56" s="6">
        <f t="shared" si="36"/>
        <v>334.97156000000001</v>
      </c>
      <c r="L56" s="6">
        <f t="shared" si="36"/>
        <v>340.95319499999999</v>
      </c>
      <c r="M56" s="6">
        <f t="shared" si="36"/>
        <v>346.93482999999998</v>
      </c>
      <c r="N56" s="6">
        <f t="shared" si="36"/>
        <v>352.91646500000002</v>
      </c>
      <c r="O56" s="6">
        <f t="shared" si="36"/>
        <v>358.8981</v>
      </c>
      <c r="P56" s="6">
        <f t="shared" si="36"/>
        <v>364.87973499999998</v>
      </c>
    </row>
    <row r="57" spans="1:16" s="2" customFormat="1" hidden="1" outlineLevel="1" x14ac:dyDescent="0.25">
      <c r="A57" s="62">
        <v>6214</v>
      </c>
      <c r="B57" s="18" t="s">
        <v>378</v>
      </c>
      <c r="C57" s="95"/>
      <c r="D57" s="95">
        <v>5.4999999999999997E-3</v>
      </c>
      <c r="E57" s="6">
        <f>IF(E$182=0,0,SUMIFS(E$42:E$54,$A$42:$A$54,6114)*$D57)</f>
        <v>489.40649999999999</v>
      </c>
      <c r="F57" s="6">
        <f t="shared" ref="F57:P57" si="37">IF(F$182=0,0,SUMIFS(F$42:F$54,$A$42:$A$54,6114)*$D57)</f>
        <v>499.19463000000002</v>
      </c>
      <c r="G57" s="6">
        <f t="shared" si="37"/>
        <v>508.98275999999998</v>
      </c>
      <c r="H57" s="6">
        <f t="shared" si="37"/>
        <v>518.77088999999989</v>
      </c>
      <c r="I57" s="6">
        <f t="shared" si="37"/>
        <v>528.55901999999992</v>
      </c>
      <c r="J57" s="6">
        <f t="shared" si="37"/>
        <v>538.34715000000006</v>
      </c>
      <c r="K57" s="6">
        <f t="shared" si="37"/>
        <v>548.13528000000008</v>
      </c>
      <c r="L57" s="6">
        <f t="shared" si="37"/>
        <v>557.92340999999999</v>
      </c>
      <c r="M57" s="6">
        <f t="shared" si="37"/>
        <v>567.71154000000001</v>
      </c>
      <c r="N57" s="6">
        <f t="shared" si="37"/>
        <v>577.49966999999992</v>
      </c>
      <c r="O57" s="6">
        <f t="shared" si="37"/>
        <v>587.28779999999995</v>
      </c>
      <c r="P57" s="6">
        <f t="shared" si="37"/>
        <v>597.07592999999997</v>
      </c>
    </row>
    <row r="58" spans="1:16" s="2" customFormat="1" hidden="1" outlineLevel="1" x14ac:dyDescent="0.25">
      <c r="A58" s="62">
        <v>6217</v>
      </c>
      <c r="B58" s="18" t="s">
        <v>379</v>
      </c>
      <c r="C58" s="95"/>
      <c r="D58" s="95">
        <v>5.4999999999999997E-3</v>
      </c>
      <c r="E58" s="6">
        <f>IF(E$182=0,0,(SUMIFS(E$42:E$54,$A$42:$A$54,6117)+SUMIFS(E$42:E$54,$A$42:$A$54,6117))*$D58)</f>
        <v>503.72388000000001</v>
      </c>
      <c r="F58" s="6">
        <f t="shared" ref="F58:P58" si="38">IF(F$182=0,0,(SUMIFS(F$42:F$54,$A$42:$A$54,6117)+SUMIFS(F$42:F$54,$A$42:$A$54,6117))*$D58)</f>
        <v>513.79835759999992</v>
      </c>
      <c r="G58" s="6">
        <f t="shared" si="38"/>
        <v>523.87283519999994</v>
      </c>
      <c r="H58" s="6">
        <f t="shared" si="38"/>
        <v>533.94731279999996</v>
      </c>
      <c r="I58" s="6">
        <f t="shared" si="38"/>
        <v>544.02179039999999</v>
      </c>
      <c r="J58" s="6">
        <f t="shared" si="38"/>
        <v>554.09626800000001</v>
      </c>
      <c r="K58" s="6">
        <f t="shared" si="38"/>
        <v>564.17074560000003</v>
      </c>
      <c r="L58" s="6">
        <f t="shared" si="38"/>
        <v>574.24522320000005</v>
      </c>
      <c r="M58" s="6">
        <f t="shared" si="38"/>
        <v>584.31970079999996</v>
      </c>
      <c r="N58" s="6">
        <f t="shared" si="38"/>
        <v>594.39417839999999</v>
      </c>
      <c r="O58" s="6">
        <f t="shared" si="38"/>
        <v>604.46865600000001</v>
      </c>
      <c r="P58" s="6">
        <f t="shared" si="38"/>
        <v>614.54313359999992</v>
      </c>
    </row>
    <row r="59" spans="1:16" s="2" customFormat="1" hidden="1" outlineLevel="1" x14ac:dyDescent="0.25">
      <c r="A59" s="62">
        <v>6227</v>
      </c>
      <c r="B59" s="18" t="s">
        <v>380</v>
      </c>
      <c r="C59" s="95"/>
      <c r="D59" s="95">
        <v>6.2E-2</v>
      </c>
      <c r="E59" s="6">
        <f>IF(E$182=0,0,SUMIFS(E$42:E$54,$A$42:$A$54,6127)*$D59)</f>
        <v>1488</v>
      </c>
      <c r="F59" s="6">
        <f t="shared" ref="F59:P59" si="39">IF(F$182=0,0,SUMIFS(F$42:F$54,$A$42:$A$54,6127)*$D59)</f>
        <v>1897.2</v>
      </c>
      <c r="G59" s="6">
        <f t="shared" si="39"/>
        <v>1934.4</v>
      </c>
      <c r="H59" s="6">
        <f t="shared" si="39"/>
        <v>1971.6</v>
      </c>
      <c r="I59" s="6">
        <f t="shared" si="39"/>
        <v>2008.8</v>
      </c>
      <c r="J59" s="6">
        <f t="shared" si="39"/>
        <v>2046.0000000000005</v>
      </c>
      <c r="K59" s="6">
        <f t="shared" si="39"/>
        <v>2083.2000000000003</v>
      </c>
      <c r="L59" s="6">
        <f t="shared" si="39"/>
        <v>2120.4000000000005</v>
      </c>
      <c r="M59" s="6">
        <f t="shared" si="39"/>
        <v>2157.5999999999995</v>
      </c>
      <c r="N59" s="6">
        <f t="shared" si="39"/>
        <v>2194.8000000000002</v>
      </c>
      <c r="O59" s="6">
        <f t="shared" si="39"/>
        <v>2232</v>
      </c>
      <c r="P59" s="6">
        <f t="shared" si="39"/>
        <v>2269.1999999999998</v>
      </c>
    </row>
    <row r="60" spans="1:16" s="2" customFormat="1" hidden="1" outlineLevel="2" x14ac:dyDescent="0.25">
      <c r="A60" s="62" t="s">
        <v>412</v>
      </c>
      <c r="B60" s="18" t="s">
        <v>420</v>
      </c>
      <c r="C60" s="95"/>
      <c r="D60" s="95">
        <v>0.14499999999999999</v>
      </c>
      <c r="E60" s="6">
        <f t="shared" ref="E60:P60" si="40">IF(E$182=0,0,SUMIFS(E$42:E$54,$A$42:$A$54,$A42)*($D60*1+E6))</f>
        <v>0</v>
      </c>
      <c r="F60" s="6">
        <f t="shared" si="40"/>
        <v>0</v>
      </c>
      <c r="G60" s="6">
        <f t="shared" si="40"/>
        <v>0</v>
      </c>
      <c r="H60" s="6">
        <f t="shared" si="40"/>
        <v>0</v>
      </c>
      <c r="I60" s="6">
        <f t="shared" si="40"/>
        <v>0</v>
      </c>
      <c r="J60" s="6">
        <f t="shared" si="40"/>
        <v>0</v>
      </c>
      <c r="K60" s="6">
        <f t="shared" si="40"/>
        <v>0</v>
      </c>
      <c r="L60" s="6">
        <f t="shared" si="40"/>
        <v>0</v>
      </c>
      <c r="M60" s="6">
        <f t="shared" si="40"/>
        <v>0</v>
      </c>
      <c r="N60" s="6">
        <f t="shared" si="40"/>
        <v>0</v>
      </c>
      <c r="O60" s="6">
        <f t="shared" si="40"/>
        <v>0</v>
      </c>
      <c r="P60" s="6">
        <f t="shared" si="40"/>
        <v>0</v>
      </c>
    </row>
    <row r="61" spans="1:16" s="2" customFormat="1" hidden="1" outlineLevel="2" x14ac:dyDescent="0.25">
      <c r="A61" s="62" t="s">
        <v>413</v>
      </c>
      <c r="B61" s="18" t="s">
        <v>421</v>
      </c>
      <c r="C61" s="95"/>
      <c r="D61" s="95">
        <v>0.28000000000000003</v>
      </c>
      <c r="E61" s="6">
        <f t="shared" ref="E61:P61" si="41">IF(E$182=0,0,SUMIFS(E$42:E$54,$A$42:$A$54,$A43)*($D61*1+E6))</f>
        <v>15225.980000000001</v>
      </c>
      <c r="F61" s="6">
        <f t="shared" si="41"/>
        <v>15946.495125000001</v>
      </c>
      <c r="G61" s="6">
        <f t="shared" si="41"/>
        <v>16259.171500000002</v>
      </c>
      <c r="H61" s="6">
        <f t="shared" si="41"/>
        <v>16571.847875000003</v>
      </c>
      <c r="I61" s="6">
        <f t="shared" si="41"/>
        <v>16884.524250000002</v>
      </c>
      <c r="J61" s="6">
        <f t="shared" si="41"/>
        <v>17197.200625000005</v>
      </c>
      <c r="K61" s="6">
        <f t="shared" si="41"/>
        <v>17509.877000000004</v>
      </c>
      <c r="L61" s="6">
        <f t="shared" si="41"/>
        <v>17822.553375000003</v>
      </c>
      <c r="M61" s="6">
        <f t="shared" si="41"/>
        <v>18135.229750000002</v>
      </c>
      <c r="N61" s="6">
        <f t="shared" si="41"/>
        <v>18447.906125000005</v>
      </c>
      <c r="O61" s="6">
        <f t="shared" si="41"/>
        <v>18760.582500000004</v>
      </c>
      <c r="P61" s="6">
        <f t="shared" si="41"/>
        <v>19073.258875000003</v>
      </c>
    </row>
    <row r="62" spans="1:16" s="2" customFormat="1" hidden="1" outlineLevel="1" x14ac:dyDescent="0.25">
      <c r="A62" s="62">
        <v>6231</v>
      </c>
      <c r="B62" s="18" t="s">
        <v>414</v>
      </c>
      <c r="C62" s="194"/>
      <c r="D62" s="18"/>
      <c r="E62" s="6">
        <f>SUM(E60:E61)</f>
        <v>15225.980000000001</v>
      </c>
      <c r="F62" s="6">
        <f t="shared" ref="F62:P62" si="42">SUM(F60:F61)</f>
        <v>15946.495125000001</v>
      </c>
      <c r="G62" s="6">
        <f t="shared" si="42"/>
        <v>16259.171500000002</v>
      </c>
      <c r="H62" s="6">
        <f t="shared" si="42"/>
        <v>16571.847875000003</v>
      </c>
      <c r="I62" s="6">
        <f t="shared" si="42"/>
        <v>16884.524250000002</v>
      </c>
      <c r="J62" s="6">
        <f t="shared" si="42"/>
        <v>17197.200625000005</v>
      </c>
      <c r="K62" s="6">
        <f t="shared" si="42"/>
        <v>17509.877000000004</v>
      </c>
      <c r="L62" s="6">
        <f t="shared" si="42"/>
        <v>17822.553375000003</v>
      </c>
      <c r="M62" s="6">
        <f t="shared" si="42"/>
        <v>18135.229750000002</v>
      </c>
      <c r="N62" s="6">
        <f t="shared" si="42"/>
        <v>18447.906125000005</v>
      </c>
      <c r="O62" s="6">
        <f t="shared" si="42"/>
        <v>18760.582500000004</v>
      </c>
      <c r="P62" s="6">
        <f t="shared" si="42"/>
        <v>19073.258875000003</v>
      </c>
    </row>
    <row r="63" spans="1:16" s="2" customFormat="1" hidden="1" outlineLevel="2" x14ac:dyDescent="0.25">
      <c r="A63" s="62" t="s">
        <v>415</v>
      </c>
      <c r="B63" s="18" t="s">
        <v>498</v>
      </c>
      <c r="C63" s="95"/>
      <c r="D63" s="95">
        <v>0.14499999999999999</v>
      </c>
      <c r="E63" s="6">
        <f t="shared" ref="E63:P63" si="43">IF(E$182=0,0,SUMIFS(E$42:E$54,$A$42:$A$54,$A45)*($D63*1+E6))</f>
        <v>0</v>
      </c>
      <c r="F63" s="6">
        <f t="shared" si="43"/>
        <v>0</v>
      </c>
      <c r="G63" s="6">
        <f t="shared" si="43"/>
        <v>0</v>
      </c>
      <c r="H63" s="6">
        <f t="shared" si="43"/>
        <v>0</v>
      </c>
      <c r="I63" s="6">
        <f t="shared" si="43"/>
        <v>0</v>
      </c>
      <c r="J63" s="6">
        <f t="shared" si="43"/>
        <v>0</v>
      </c>
      <c r="K63" s="6">
        <f t="shared" si="43"/>
        <v>0</v>
      </c>
      <c r="L63" s="6">
        <f t="shared" si="43"/>
        <v>0</v>
      </c>
      <c r="M63" s="6">
        <f t="shared" si="43"/>
        <v>0</v>
      </c>
      <c r="N63" s="6">
        <f t="shared" si="43"/>
        <v>0</v>
      </c>
      <c r="O63" s="6">
        <f t="shared" si="43"/>
        <v>0</v>
      </c>
      <c r="P63" s="6">
        <f t="shared" si="43"/>
        <v>0</v>
      </c>
    </row>
    <row r="64" spans="1:16" s="2" customFormat="1" hidden="1" outlineLevel="2" x14ac:dyDescent="0.25">
      <c r="A64" s="62" t="s">
        <v>416</v>
      </c>
      <c r="B64" s="18" t="s">
        <v>497</v>
      </c>
      <c r="C64" s="295"/>
      <c r="D64" s="95">
        <v>0.28000000000000003</v>
      </c>
      <c r="E64" s="6">
        <f t="shared" ref="E64:P64" si="44">IF(E$182=0,0,SUMIFS(E$42:E$54,$A$42:$A$54,$A46)*($D64*1+E6))</f>
        <v>24915.24</v>
      </c>
      <c r="F64" s="6">
        <f t="shared" si="44"/>
        <v>26094.264750000006</v>
      </c>
      <c r="G64" s="6">
        <f t="shared" si="44"/>
        <v>26605.917000000005</v>
      </c>
      <c r="H64" s="6">
        <f t="shared" si="44"/>
        <v>27117.56925</v>
      </c>
      <c r="I64" s="6">
        <f t="shared" si="44"/>
        <v>27629.221500000003</v>
      </c>
      <c r="J64" s="6">
        <f t="shared" si="44"/>
        <v>28140.87375000001</v>
      </c>
      <c r="K64" s="6">
        <f t="shared" si="44"/>
        <v>28652.526000000009</v>
      </c>
      <c r="L64" s="6">
        <f t="shared" si="44"/>
        <v>29164.178250000004</v>
      </c>
      <c r="M64" s="6">
        <f t="shared" si="44"/>
        <v>29675.830500000004</v>
      </c>
      <c r="N64" s="6">
        <f t="shared" si="44"/>
        <v>30187.482750000003</v>
      </c>
      <c r="O64" s="6">
        <f t="shared" si="44"/>
        <v>30699.135000000006</v>
      </c>
      <c r="P64" s="6">
        <f t="shared" si="44"/>
        <v>31210.787250000005</v>
      </c>
    </row>
    <row r="65" spans="1:16" s="2" customFormat="1" hidden="1" outlineLevel="1" x14ac:dyDescent="0.25">
      <c r="A65" s="62">
        <v>6234</v>
      </c>
      <c r="B65" s="18" t="s">
        <v>417</v>
      </c>
      <c r="C65" s="194"/>
      <c r="D65" s="18"/>
      <c r="E65" s="6">
        <f t="shared" ref="E65:P65" si="45">SUM(E63:E64)</f>
        <v>24915.24</v>
      </c>
      <c r="F65" s="6">
        <f t="shared" si="45"/>
        <v>26094.264750000006</v>
      </c>
      <c r="G65" s="6">
        <f t="shared" si="45"/>
        <v>26605.917000000005</v>
      </c>
      <c r="H65" s="6">
        <f t="shared" si="45"/>
        <v>27117.56925</v>
      </c>
      <c r="I65" s="6">
        <f t="shared" si="45"/>
        <v>27629.221500000003</v>
      </c>
      <c r="J65" s="6">
        <f t="shared" si="45"/>
        <v>28140.87375000001</v>
      </c>
      <c r="K65" s="6">
        <f t="shared" si="45"/>
        <v>28652.526000000009</v>
      </c>
      <c r="L65" s="6">
        <f t="shared" si="45"/>
        <v>29164.178250000004</v>
      </c>
      <c r="M65" s="6">
        <f t="shared" si="45"/>
        <v>29675.830500000004</v>
      </c>
      <c r="N65" s="6">
        <f t="shared" si="45"/>
        <v>30187.482750000003</v>
      </c>
      <c r="O65" s="6">
        <f t="shared" si="45"/>
        <v>30699.135000000006</v>
      </c>
      <c r="P65" s="6">
        <f t="shared" si="45"/>
        <v>31210.787250000005</v>
      </c>
    </row>
    <row r="66" spans="1:16" s="2" customFormat="1" hidden="1" outlineLevel="2" x14ac:dyDescent="0.25">
      <c r="A66" s="62" t="s">
        <v>418</v>
      </c>
      <c r="B66" s="18" t="s">
        <v>495</v>
      </c>
      <c r="C66" s="95"/>
      <c r="D66" s="95">
        <v>0.14499999999999999</v>
      </c>
      <c r="E66" s="6">
        <f t="shared" ref="E66:P66" si="46">IF(E$182=0,0,SUMIFS(E$42:E$54,$A$42:$A$54,$A48)*($D66*1+E6))</f>
        <v>6639.9965999999995</v>
      </c>
      <c r="F66" s="6">
        <f t="shared" si="46"/>
        <v>7123.1135939999995</v>
      </c>
      <c r="G66" s="6">
        <f t="shared" si="46"/>
        <v>7262.7824879999998</v>
      </c>
      <c r="H66" s="6">
        <f t="shared" si="46"/>
        <v>7402.4513819999993</v>
      </c>
      <c r="I66" s="6">
        <f t="shared" si="46"/>
        <v>7542.1202760000006</v>
      </c>
      <c r="J66" s="6">
        <f t="shared" si="46"/>
        <v>7681.78917</v>
      </c>
      <c r="K66" s="6">
        <f t="shared" si="46"/>
        <v>7821.4580640000013</v>
      </c>
      <c r="L66" s="6">
        <f t="shared" si="46"/>
        <v>7961.1269580000007</v>
      </c>
      <c r="M66" s="6">
        <f t="shared" si="46"/>
        <v>8100.7958520000002</v>
      </c>
      <c r="N66" s="6">
        <f t="shared" si="46"/>
        <v>8240.4647459999996</v>
      </c>
      <c r="O66" s="6">
        <f t="shared" si="46"/>
        <v>8380.13364</v>
      </c>
      <c r="P66" s="6">
        <f t="shared" si="46"/>
        <v>8519.8025340000004</v>
      </c>
    </row>
    <row r="67" spans="1:16" s="2" customFormat="1" hidden="1" outlineLevel="2" x14ac:dyDescent="0.25">
      <c r="A67" s="62" t="s">
        <v>419</v>
      </c>
      <c r="B67" s="18" t="s">
        <v>496</v>
      </c>
      <c r="C67" s="95"/>
      <c r="D67" s="95">
        <v>0.28000000000000003</v>
      </c>
      <c r="E67" s="6">
        <f t="shared" ref="E67:P67" si="47">IF(E$182=0,0,SUMIFS(E$42:E$54,$A$42:$A$54,$A49)*($D67*1+E6))</f>
        <v>0</v>
      </c>
      <c r="F67" s="6">
        <f t="shared" si="47"/>
        <v>0</v>
      </c>
      <c r="G67" s="6">
        <f t="shared" si="47"/>
        <v>0</v>
      </c>
      <c r="H67" s="6">
        <f t="shared" si="47"/>
        <v>0</v>
      </c>
      <c r="I67" s="6">
        <f t="shared" si="47"/>
        <v>0</v>
      </c>
      <c r="J67" s="6">
        <f t="shared" si="47"/>
        <v>0</v>
      </c>
      <c r="K67" s="6">
        <f t="shared" si="47"/>
        <v>0</v>
      </c>
      <c r="L67" s="6">
        <f t="shared" si="47"/>
        <v>0</v>
      </c>
      <c r="M67" s="6">
        <f t="shared" si="47"/>
        <v>0</v>
      </c>
      <c r="N67" s="6">
        <f t="shared" si="47"/>
        <v>0</v>
      </c>
      <c r="O67" s="6">
        <f t="shared" si="47"/>
        <v>0</v>
      </c>
      <c r="P67" s="6">
        <f t="shared" si="47"/>
        <v>0</v>
      </c>
    </row>
    <row r="68" spans="1:16" s="2" customFormat="1" hidden="1" outlineLevel="1" x14ac:dyDescent="0.25">
      <c r="A68" s="62">
        <v>6237</v>
      </c>
      <c r="B68" s="18" t="s">
        <v>425</v>
      </c>
      <c r="C68" s="194"/>
      <c r="D68" s="18"/>
      <c r="E68" s="6">
        <f>SUM(E66:E67)</f>
        <v>6639.9965999999995</v>
      </c>
      <c r="F68" s="6">
        <f t="shared" ref="F68:P68" si="48">SUM(F66:F67)</f>
        <v>7123.1135939999995</v>
      </c>
      <c r="G68" s="6">
        <f t="shared" si="48"/>
        <v>7262.7824879999998</v>
      </c>
      <c r="H68" s="6">
        <f t="shared" si="48"/>
        <v>7402.4513819999993</v>
      </c>
      <c r="I68" s="6">
        <f t="shared" si="48"/>
        <v>7542.1202760000006</v>
      </c>
      <c r="J68" s="6">
        <f t="shared" si="48"/>
        <v>7681.78917</v>
      </c>
      <c r="K68" s="6">
        <f t="shared" si="48"/>
        <v>7821.4580640000013</v>
      </c>
      <c r="L68" s="6">
        <f t="shared" si="48"/>
        <v>7961.1269580000007</v>
      </c>
      <c r="M68" s="6">
        <f t="shared" si="48"/>
        <v>8100.7958520000002</v>
      </c>
      <c r="N68" s="6">
        <f t="shared" si="48"/>
        <v>8240.4647459999996</v>
      </c>
      <c r="O68" s="6">
        <f t="shared" si="48"/>
        <v>8380.13364</v>
      </c>
      <c r="P68" s="6">
        <f t="shared" si="48"/>
        <v>8519.8025340000004</v>
      </c>
    </row>
    <row r="69" spans="1:16" s="2" customFormat="1" hidden="1" outlineLevel="1" x14ac:dyDescent="0.25">
      <c r="A69" s="62">
        <v>6241</v>
      </c>
      <c r="B69" s="18" t="s">
        <v>383</v>
      </c>
      <c r="C69" s="95"/>
      <c r="D69" s="95">
        <v>1.4500000000000001E-2</v>
      </c>
      <c r="E69" s="6">
        <f>IF(E$182=0,0,SUMIFS(E$42:E$54,$A$42:$A$54,$A44)*$D69)</f>
        <v>788.48824999999999</v>
      </c>
      <c r="F69" s="6">
        <f t="shared" ref="F69:P69" si="49">IF(F$182=0,0,SUMIFS(F$42:F$54,$A$42:$A$54,$A44)*$D69)</f>
        <v>804.258015</v>
      </c>
      <c r="G69" s="6">
        <f t="shared" si="49"/>
        <v>820.02778000000001</v>
      </c>
      <c r="H69" s="6">
        <f t="shared" si="49"/>
        <v>835.79754500000001</v>
      </c>
      <c r="I69" s="6">
        <f t="shared" si="49"/>
        <v>851.56731000000013</v>
      </c>
      <c r="J69" s="6">
        <f t="shared" si="49"/>
        <v>867.33707500000014</v>
      </c>
      <c r="K69" s="6">
        <f t="shared" si="49"/>
        <v>883.10684000000015</v>
      </c>
      <c r="L69" s="6">
        <f t="shared" si="49"/>
        <v>898.87660500000015</v>
      </c>
      <c r="M69" s="6">
        <f t="shared" si="49"/>
        <v>914.64637000000005</v>
      </c>
      <c r="N69" s="6">
        <f t="shared" si="49"/>
        <v>930.41613500000017</v>
      </c>
      <c r="O69" s="6">
        <f t="shared" si="49"/>
        <v>946.18590000000006</v>
      </c>
      <c r="P69" s="6">
        <f t="shared" si="49"/>
        <v>961.95566500000007</v>
      </c>
    </row>
    <row r="70" spans="1:16" s="2" customFormat="1" hidden="1" outlineLevel="1" x14ac:dyDescent="0.25">
      <c r="A70" s="62">
        <v>6244</v>
      </c>
      <c r="B70" s="18" t="s">
        <v>384</v>
      </c>
      <c r="C70" s="95"/>
      <c r="D70" s="95">
        <v>1.4500000000000001E-2</v>
      </c>
      <c r="E70" s="6">
        <f>IF(E$182=0,0,SUMIFS(E$42:E$54,$A$42:$A$54,$A47)*$D70)</f>
        <v>1290.2535</v>
      </c>
      <c r="F70" s="6">
        <f t="shared" ref="F70:P70" si="50">IF(F$182=0,0,SUMIFS(F$42:F$54,$A$42:$A$54,$A47)*$D70)</f>
        <v>1316.0585700000001</v>
      </c>
      <c r="G70" s="6">
        <f t="shared" si="50"/>
        <v>1341.8636400000003</v>
      </c>
      <c r="H70" s="6">
        <f t="shared" si="50"/>
        <v>1367.6687099999999</v>
      </c>
      <c r="I70" s="6">
        <f t="shared" si="50"/>
        <v>1393.47378</v>
      </c>
      <c r="J70" s="6">
        <f t="shared" si="50"/>
        <v>1419.2788500000004</v>
      </c>
      <c r="K70" s="6">
        <f t="shared" si="50"/>
        <v>1445.0839200000005</v>
      </c>
      <c r="L70" s="6">
        <f t="shared" si="50"/>
        <v>1470.8889900000001</v>
      </c>
      <c r="M70" s="6">
        <f t="shared" si="50"/>
        <v>1496.69406</v>
      </c>
      <c r="N70" s="6">
        <f t="shared" si="50"/>
        <v>1522.4991300000002</v>
      </c>
      <c r="O70" s="6">
        <f t="shared" si="50"/>
        <v>1548.3042000000003</v>
      </c>
      <c r="P70" s="6">
        <f t="shared" si="50"/>
        <v>1574.1092700000002</v>
      </c>
    </row>
    <row r="71" spans="1:16" s="2" customFormat="1" hidden="1" outlineLevel="1" x14ac:dyDescent="0.25">
      <c r="A71" s="62">
        <v>6247</v>
      </c>
      <c r="B71" s="18" t="s">
        <v>385</v>
      </c>
      <c r="C71" s="95"/>
      <c r="D71" s="95">
        <v>1.4500000000000001E-2</v>
      </c>
      <c r="E71" s="6">
        <f>IF(E$182=0,0,((SUMIFS(E$42:E$54,$A$42:$A$54,$A50))+(SUMIFS(E$42:E$54,$A$42:$A$54,$A51)))*$D71)</f>
        <v>1011.9996600000001</v>
      </c>
      <c r="F71" s="6">
        <f t="shared" ref="F71:P71" si="51">IF(F$182=0,0,((SUMIFS(F$42:F$54,$A$42:$A$54,$A50))+(SUMIFS(F$42:F$54,$A$42:$A$54,$A51)))*$D71)</f>
        <v>1120.9796532</v>
      </c>
      <c r="G71" s="6">
        <f t="shared" si="51"/>
        <v>1142.9596463999999</v>
      </c>
      <c r="H71" s="6">
        <f t="shared" si="51"/>
        <v>1164.9396396</v>
      </c>
      <c r="I71" s="6">
        <f t="shared" si="51"/>
        <v>1186.9196328</v>
      </c>
      <c r="J71" s="6">
        <f t="shared" si="51"/>
        <v>1208.8996260000001</v>
      </c>
      <c r="K71" s="6">
        <f t="shared" si="51"/>
        <v>1230.8796192000002</v>
      </c>
      <c r="L71" s="6">
        <f t="shared" si="51"/>
        <v>1252.8596124000003</v>
      </c>
      <c r="M71" s="6">
        <f t="shared" si="51"/>
        <v>1274.8396055999999</v>
      </c>
      <c r="N71" s="6">
        <f t="shared" si="51"/>
        <v>1296.8195988</v>
      </c>
      <c r="O71" s="6">
        <f t="shared" si="51"/>
        <v>1318.7995920000001</v>
      </c>
      <c r="P71" s="6">
        <f t="shared" si="51"/>
        <v>1340.7795852000002</v>
      </c>
    </row>
    <row r="72" spans="1:16" s="2" customFormat="1" hidden="1" outlineLevel="1" x14ac:dyDescent="0.25">
      <c r="A72" s="62">
        <v>6261</v>
      </c>
      <c r="B72" s="18" t="s">
        <v>386</v>
      </c>
      <c r="C72" s="95"/>
      <c r="D72" s="95">
        <v>0.01</v>
      </c>
      <c r="E72" s="6">
        <f>IF(E$182=0,0,SUMIFS(E$42:E$54,$A$42:$A$54,$A44)*$D72)</f>
        <v>543.78499999999997</v>
      </c>
      <c r="F72" s="6">
        <f t="shared" ref="F72:P72" si="52">IF(F$182=0,0,SUMIFS(F$42:F$54,$A$42:$A$54,$A44)*$D72)</f>
        <v>554.66070000000002</v>
      </c>
      <c r="G72" s="6">
        <f t="shared" si="52"/>
        <v>565.53639999999996</v>
      </c>
      <c r="H72" s="6">
        <f t="shared" si="52"/>
        <v>576.41210000000001</v>
      </c>
      <c r="I72" s="6">
        <f t="shared" si="52"/>
        <v>587.28780000000006</v>
      </c>
      <c r="J72" s="6">
        <f t="shared" si="52"/>
        <v>598.16350000000011</v>
      </c>
      <c r="K72" s="6">
        <f t="shared" si="52"/>
        <v>609.03920000000005</v>
      </c>
      <c r="L72" s="6">
        <f t="shared" si="52"/>
        <v>619.9149000000001</v>
      </c>
      <c r="M72" s="6">
        <f t="shared" si="52"/>
        <v>630.79060000000004</v>
      </c>
      <c r="N72" s="6">
        <f t="shared" si="52"/>
        <v>641.66630000000009</v>
      </c>
      <c r="O72" s="6">
        <f t="shared" si="52"/>
        <v>652.54200000000003</v>
      </c>
      <c r="P72" s="6">
        <f t="shared" si="52"/>
        <v>663.41770000000008</v>
      </c>
    </row>
    <row r="73" spans="1:16" s="2" customFormat="1" hidden="1" outlineLevel="1" x14ac:dyDescent="0.25">
      <c r="A73" s="62">
        <v>6264</v>
      </c>
      <c r="B73" s="18" t="s">
        <v>387</v>
      </c>
      <c r="C73" s="95"/>
      <c r="D73" s="95">
        <v>0.01</v>
      </c>
      <c r="E73" s="6">
        <f>IF(E$182=0,0,SUMIFS(E$42:E$54,$A$42:$A$54,$A47)*$D73)</f>
        <v>889.83</v>
      </c>
      <c r="F73" s="6">
        <f t="shared" ref="F73:P73" si="53">IF(F$182=0,0,SUMIFS(F$42:F$54,$A$42:$A$54,$A47)*$D73)</f>
        <v>907.62660000000005</v>
      </c>
      <c r="G73" s="6">
        <f t="shared" si="53"/>
        <v>925.42320000000007</v>
      </c>
      <c r="H73" s="6">
        <f t="shared" si="53"/>
        <v>943.21979999999996</v>
      </c>
      <c r="I73" s="6">
        <f t="shared" si="53"/>
        <v>961.01639999999998</v>
      </c>
      <c r="J73" s="6">
        <f t="shared" si="53"/>
        <v>978.81300000000022</v>
      </c>
      <c r="K73" s="6">
        <f t="shared" si="53"/>
        <v>996.60960000000023</v>
      </c>
      <c r="L73" s="6">
        <f t="shared" si="53"/>
        <v>1014.4062000000001</v>
      </c>
      <c r="M73" s="6">
        <f t="shared" si="53"/>
        <v>1032.2028</v>
      </c>
      <c r="N73" s="6">
        <f t="shared" si="53"/>
        <v>1049.9994000000002</v>
      </c>
      <c r="O73" s="6">
        <f t="shared" si="53"/>
        <v>1067.796</v>
      </c>
      <c r="P73" s="6">
        <f t="shared" si="53"/>
        <v>1085.5926000000002</v>
      </c>
    </row>
    <row r="74" spans="1:16" s="2" customFormat="1" hidden="1" outlineLevel="1" x14ac:dyDescent="0.25">
      <c r="A74" s="62">
        <v>6267</v>
      </c>
      <c r="B74" s="18" t="s">
        <v>388</v>
      </c>
      <c r="C74" s="95"/>
      <c r="D74" s="95">
        <v>0.01</v>
      </c>
      <c r="E74" s="6">
        <f>IF(E$182=0,0,((SUMIFS(E$42:E$54,$A$42:$A$54,$A50))+(SUMIFS(E$42:E$54,$A$42:$A$54,A51)))*$D74)</f>
        <v>697.93079999999998</v>
      </c>
      <c r="F74" s="6">
        <f t="shared" ref="F74:P74" si="54">IF(F$182=0,0,((SUMIFS(F$42:F$54,$A$42:$A$54,$A50))+(SUMIFS(F$42:F$54,$A$42:$A$54,B51)))*$D74)</f>
        <v>467.08941599999997</v>
      </c>
      <c r="G74" s="6">
        <f t="shared" si="54"/>
        <v>476.24803200000002</v>
      </c>
      <c r="H74" s="6">
        <f t="shared" si="54"/>
        <v>485.40664800000002</v>
      </c>
      <c r="I74" s="6">
        <f t="shared" si="54"/>
        <v>494.56526400000001</v>
      </c>
      <c r="J74" s="6">
        <f t="shared" si="54"/>
        <v>503.72388000000001</v>
      </c>
      <c r="K74" s="6">
        <f t="shared" si="54"/>
        <v>512.88249600000006</v>
      </c>
      <c r="L74" s="6">
        <f t="shared" si="54"/>
        <v>522.04111200000011</v>
      </c>
      <c r="M74" s="6">
        <f t="shared" si="54"/>
        <v>531.19972800000005</v>
      </c>
      <c r="N74" s="6">
        <f t="shared" si="54"/>
        <v>540.35834399999999</v>
      </c>
      <c r="O74" s="6">
        <f t="shared" si="54"/>
        <v>549.51696000000004</v>
      </c>
      <c r="P74" s="6">
        <f t="shared" si="54"/>
        <v>558.67557599999998</v>
      </c>
    </row>
    <row r="75" spans="1:16" s="2" customFormat="1" hidden="1" outlineLevel="1" x14ac:dyDescent="0.25">
      <c r="A75" s="62">
        <v>6271</v>
      </c>
      <c r="B75" s="18" t="s">
        <v>389</v>
      </c>
      <c r="C75" s="95"/>
      <c r="D75" s="95">
        <v>7.0000000000000001E-3</v>
      </c>
      <c r="E75" s="6">
        <f>IF(E$182=0,0,SUMIFS(E$42:E$54,$A$42:$A$54,$A44)*$D75)</f>
        <v>380.64949999999999</v>
      </c>
      <c r="F75" s="6">
        <f t="shared" ref="F75:P75" si="55">IF(F$182=0,0,SUMIFS(F$42:F$54,$A$42:$A$54,$A44)*$D75)</f>
        <v>388.26249000000001</v>
      </c>
      <c r="G75" s="6">
        <f t="shared" si="55"/>
        <v>395.87547999999998</v>
      </c>
      <c r="H75" s="6">
        <f t="shared" si="55"/>
        <v>403.48847000000001</v>
      </c>
      <c r="I75" s="6">
        <f t="shared" si="55"/>
        <v>411.10146000000003</v>
      </c>
      <c r="J75" s="6">
        <f t="shared" si="55"/>
        <v>418.71445000000006</v>
      </c>
      <c r="K75" s="6">
        <f t="shared" si="55"/>
        <v>426.32744000000002</v>
      </c>
      <c r="L75" s="6">
        <f t="shared" si="55"/>
        <v>433.94043000000005</v>
      </c>
      <c r="M75" s="6">
        <f t="shared" si="55"/>
        <v>441.55342000000002</v>
      </c>
      <c r="N75" s="6">
        <f t="shared" si="55"/>
        <v>449.16641000000004</v>
      </c>
      <c r="O75" s="6">
        <f t="shared" si="55"/>
        <v>456.77940000000007</v>
      </c>
      <c r="P75" s="6">
        <f t="shared" si="55"/>
        <v>464.39239000000003</v>
      </c>
    </row>
    <row r="76" spans="1:16" s="2" customFormat="1" hidden="1" outlineLevel="1" x14ac:dyDescent="0.25">
      <c r="A76" s="62">
        <v>6274</v>
      </c>
      <c r="B76" s="18" t="s">
        <v>390</v>
      </c>
      <c r="C76" s="95"/>
      <c r="D76" s="95">
        <v>7.0000000000000001E-3</v>
      </c>
      <c r="E76" s="6">
        <f>IF(E$182=0,0,SUMIFS(E$42:E$54,$A$42:$A$54,$A47)*$D76)</f>
        <v>622.88099999999997</v>
      </c>
      <c r="F76" s="6">
        <f t="shared" ref="F76:P76" si="56">IF(F$182=0,0,SUMIFS(F$42:F$54,$A$42:$A$54,$A47)*$D76)</f>
        <v>635.33861999999999</v>
      </c>
      <c r="G76" s="6">
        <f t="shared" si="56"/>
        <v>647.79624000000001</v>
      </c>
      <c r="H76" s="6">
        <f t="shared" si="56"/>
        <v>660.25386000000003</v>
      </c>
      <c r="I76" s="6">
        <f t="shared" si="56"/>
        <v>672.71148000000005</v>
      </c>
      <c r="J76" s="6">
        <f t="shared" si="56"/>
        <v>685.16910000000018</v>
      </c>
      <c r="K76" s="6">
        <f t="shared" si="56"/>
        <v>697.6267200000002</v>
      </c>
      <c r="L76" s="6">
        <f t="shared" si="56"/>
        <v>710.08434000000011</v>
      </c>
      <c r="M76" s="6">
        <f t="shared" si="56"/>
        <v>722.54196000000002</v>
      </c>
      <c r="N76" s="6">
        <f t="shared" si="56"/>
        <v>734.99958000000004</v>
      </c>
      <c r="O76" s="6">
        <f t="shared" si="56"/>
        <v>747.45720000000006</v>
      </c>
      <c r="P76" s="6">
        <f t="shared" si="56"/>
        <v>759.91482000000008</v>
      </c>
    </row>
    <row r="77" spans="1:16" s="2" customFormat="1" hidden="1" outlineLevel="1" x14ac:dyDescent="0.25">
      <c r="A77" s="62">
        <v>6277</v>
      </c>
      <c r="B77" s="18" t="s">
        <v>391</v>
      </c>
      <c r="C77" s="95"/>
      <c r="D77" s="95">
        <v>7.0000000000000001E-3</v>
      </c>
      <c r="E77" s="6">
        <f>IF(E$182=0,0,((SUMIFS(E$42:E$54,$A$42:$A$54,$A50))+(SUMIFS(E$42:E$54,$A$42:$A$54,$A51)))*$D77)</f>
        <v>488.55155999999999</v>
      </c>
      <c r="F77" s="6">
        <f t="shared" ref="F77:P77" si="57">IF(F$182=0,0,((SUMIFS(F$42:F$54,$A$42:$A$54,$A50))+(SUMIFS(F$42:F$54,$A$42:$A$54,$A51)))*$D77)</f>
        <v>541.16259119999995</v>
      </c>
      <c r="G77" s="6">
        <f t="shared" si="57"/>
        <v>551.77362240000002</v>
      </c>
      <c r="H77" s="6">
        <f t="shared" si="57"/>
        <v>562.38465359999998</v>
      </c>
      <c r="I77" s="6">
        <f t="shared" si="57"/>
        <v>572.99568480000005</v>
      </c>
      <c r="J77" s="6">
        <f t="shared" si="57"/>
        <v>583.60671600000001</v>
      </c>
      <c r="K77" s="6">
        <f t="shared" si="57"/>
        <v>594.21774720000008</v>
      </c>
      <c r="L77" s="6">
        <f t="shared" si="57"/>
        <v>604.82877840000015</v>
      </c>
      <c r="M77" s="6">
        <f t="shared" si="57"/>
        <v>615.43980959999999</v>
      </c>
      <c r="N77" s="6">
        <f t="shared" si="57"/>
        <v>626.05084079999995</v>
      </c>
      <c r="O77" s="6">
        <f t="shared" si="57"/>
        <v>636.66187200000002</v>
      </c>
      <c r="P77" s="6">
        <f t="shared" si="57"/>
        <v>647.27290319999997</v>
      </c>
    </row>
    <row r="78" spans="1:16" s="2" customFormat="1" hidden="1" outlineLevel="1" x14ac:dyDescent="0.25">
      <c r="A78" s="62">
        <v>6281</v>
      </c>
      <c r="B78" s="18" t="s">
        <v>392</v>
      </c>
      <c r="C78" s="304" t="s">
        <v>633</v>
      </c>
      <c r="D78" s="85">
        <v>350</v>
      </c>
      <c r="E78" s="6">
        <f>IF(E$182=0,0,(E200*$D78*12)*(1+E9))</f>
        <v>4200</v>
      </c>
      <c r="F78" s="6">
        <f t="shared" ref="F78:P78" si="58">IF(F$182=0,0,(F200*$D78*12)*(1+F9))</f>
        <v>4368</v>
      </c>
      <c r="G78" s="6">
        <f t="shared" si="58"/>
        <v>4536</v>
      </c>
      <c r="H78" s="6">
        <f t="shared" si="58"/>
        <v>4704</v>
      </c>
      <c r="I78" s="6">
        <f t="shared" si="58"/>
        <v>4872</v>
      </c>
      <c r="J78" s="6">
        <f t="shared" si="58"/>
        <v>5040</v>
      </c>
      <c r="K78" s="6">
        <f t="shared" si="58"/>
        <v>5208</v>
      </c>
      <c r="L78" s="6">
        <f t="shared" si="58"/>
        <v>5376</v>
      </c>
      <c r="M78" s="6">
        <f t="shared" si="58"/>
        <v>5544</v>
      </c>
      <c r="N78" s="6">
        <f t="shared" si="58"/>
        <v>5711.9999999999991</v>
      </c>
      <c r="O78" s="6">
        <f t="shared" si="58"/>
        <v>5880</v>
      </c>
      <c r="P78" s="6">
        <f t="shared" si="58"/>
        <v>6048</v>
      </c>
    </row>
    <row r="79" spans="1:16" s="2" customFormat="1" hidden="1" outlineLevel="1" x14ac:dyDescent="0.25">
      <c r="A79" s="62">
        <v>6284</v>
      </c>
      <c r="B79" s="18" t="s">
        <v>393</v>
      </c>
      <c r="C79" s="304" t="s">
        <v>633</v>
      </c>
      <c r="D79" s="85">
        <v>350</v>
      </c>
      <c r="E79" s="6">
        <f>IF(E$182=0,0,(E203*$D79*12)*(1+E9))</f>
        <v>4200</v>
      </c>
      <c r="F79" s="6">
        <f t="shared" ref="F79:P79" si="59">IF(F$182=0,0,(F203*$D79*12)*(1+F9))</f>
        <v>4368</v>
      </c>
      <c r="G79" s="6">
        <f t="shared" si="59"/>
        <v>4536</v>
      </c>
      <c r="H79" s="6">
        <f t="shared" si="59"/>
        <v>4704</v>
      </c>
      <c r="I79" s="6">
        <f t="shared" si="59"/>
        <v>4872</v>
      </c>
      <c r="J79" s="6">
        <f t="shared" si="59"/>
        <v>5040</v>
      </c>
      <c r="K79" s="6">
        <f t="shared" si="59"/>
        <v>5208</v>
      </c>
      <c r="L79" s="6">
        <f t="shared" si="59"/>
        <v>5376</v>
      </c>
      <c r="M79" s="6">
        <f t="shared" si="59"/>
        <v>5544</v>
      </c>
      <c r="N79" s="6">
        <f t="shared" si="59"/>
        <v>5711.9999999999991</v>
      </c>
      <c r="O79" s="6">
        <f t="shared" si="59"/>
        <v>5880</v>
      </c>
      <c r="P79" s="6">
        <f t="shared" si="59"/>
        <v>6048</v>
      </c>
    </row>
    <row r="80" spans="1:16" s="2" customFormat="1" hidden="1" outlineLevel="1" x14ac:dyDescent="0.25">
      <c r="A80" s="62">
        <v>6287</v>
      </c>
      <c r="B80" s="18" t="s">
        <v>394</v>
      </c>
      <c r="C80" s="304" t="s">
        <v>633</v>
      </c>
      <c r="D80" s="85">
        <v>350</v>
      </c>
      <c r="E80" s="32">
        <f>IF(E$182=0,0,(E204*$D80*12)*(1+E9))</f>
        <v>4200</v>
      </c>
      <c r="F80" s="32">
        <f t="shared" ref="F80:P80" si="60">IF(F$182=0,0,(F204*$D80*12)*(1+F9))</f>
        <v>4368</v>
      </c>
      <c r="G80" s="32">
        <f t="shared" si="60"/>
        <v>4536</v>
      </c>
      <c r="H80" s="32">
        <f t="shared" si="60"/>
        <v>4704</v>
      </c>
      <c r="I80" s="32">
        <f t="shared" si="60"/>
        <v>4872</v>
      </c>
      <c r="J80" s="32">
        <f t="shared" si="60"/>
        <v>5040</v>
      </c>
      <c r="K80" s="32">
        <f t="shared" si="60"/>
        <v>5208</v>
      </c>
      <c r="L80" s="32">
        <f t="shared" si="60"/>
        <v>5376</v>
      </c>
      <c r="M80" s="32">
        <f t="shared" si="60"/>
        <v>5544</v>
      </c>
      <c r="N80" s="32">
        <f t="shared" si="60"/>
        <v>5711.9999999999991</v>
      </c>
      <c r="O80" s="32">
        <f t="shared" si="60"/>
        <v>5880</v>
      </c>
      <c r="P80" s="32">
        <f t="shared" si="60"/>
        <v>6048</v>
      </c>
    </row>
    <row r="81" spans="1:16" s="2" customFormat="1" collapsed="1" x14ac:dyDescent="0.25">
      <c r="A81" s="62">
        <v>200</v>
      </c>
      <c r="B81" s="18" t="s">
        <v>106</v>
      </c>
      <c r="C81" s="18"/>
      <c r="E81" s="6">
        <f>SUM(E56:E80)-E68-E65-E62</f>
        <v>68875.798000000024</v>
      </c>
      <c r="F81" s="6">
        <f t="shared" ref="F81:P81" si="61">SUM(F56:F80)-F68-F65-F62</f>
        <v>72218.566496999993</v>
      </c>
      <c r="G81" s="6">
        <f t="shared" si="61"/>
        <v>73881.675644000017</v>
      </c>
      <c r="H81" s="6">
        <f t="shared" si="61"/>
        <v>75544.784790999998</v>
      </c>
      <c r="I81" s="6">
        <f t="shared" si="61"/>
        <v>77207.893938000008</v>
      </c>
      <c r="J81" s="6">
        <f t="shared" si="61"/>
        <v>78871.003085000004</v>
      </c>
      <c r="K81" s="6">
        <f t="shared" si="61"/>
        <v>80534.112232000014</v>
      </c>
      <c r="L81" s="6">
        <f t="shared" si="61"/>
        <v>82197.22137900001</v>
      </c>
      <c r="M81" s="6">
        <f t="shared" si="61"/>
        <v>83860.330525999976</v>
      </c>
      <c r="N81" s="6">
        <f t="shared" si="61"/>
        <v>85523.439672999986</v>
      </c>
      <c r="O81" s="6">
        <f t="shared" si="61"/>
        <v>87186.548819999982</v>
      </c>
      <c r="P81" s="6">
        <f t="shared" si="61"/>
        <v>88849.65796700005</v>
      </c>
    </row>
    <row r="82" spans="1:16" s="2" customFormat="1" x14ac:dyDescent="0.25">
      <c r="A82" s="2">
        <v>300</v>
      </c>
      <c r="B82" s="18" t="s">
        <v>484</v>
      </c>
      <c r="C82" s="297" t="s">
        <v>703</v>
      </c>
      <c r="D82" s="164">
        <v>0</v>
      </c>
      <c r="E82" s="154">
        <f>IF(E$182=0,0,$D82*350)</f>
        <v>0</v>
      </c>
      <c r="F82" s="154">
        <f t="shared" ref="F82:P82" si="62">IF(F$182=0,0,$D82*350)</f>
        <v>0</v>
      </c>
      <c r="G82" s="154">
        <f t="shared" si="62"/>
        <v>0</v>
      </c>
      <c r="H82" s="154">
        <f t="shared" si="62"/>
        <v>0</v>
      </c>
      <c r="I82" s="154">
        <f t="shared" si="62"/>
        <v>0</v>
      </c>
      <c r="J82" s="154">
        <f t="shared" si="62"/>
        <v>0</v>
      </c>
      <c r="K82" s="154">
        <f t="shared" si="62"/>
        <v>0</v>
      </c>
      <c r="L82" s="154">
        <f t="shared" si="62"/>
        <v>0</v>
      </c>
      <c r="M82" s="154">
        <f t="shared" si="62"/>
        <v>0</v>
      </c>
      <c r="N82" s="154">
        <f t="shared" si="62"/>
        <v>0</v>
      </c>
      <c r="O82" s="154">
        <f t="shared" si="62"/>
        <v>0</v>
      </c>
      <c r="P82" s="154">
        <f t="shared" si="62"/>
        <v>0</v>
      </c>
    </row>
    <row r="83" spans="1:16" s="2" customFormat="1" x14ac:dyDescent="0.25">
      <c r="A83" s="2">
        <v>300</v>
      </c>
      <c r="B83" s="18" t="s">
        <v>755</v>
      </c>
      <c r="C83" s="2" t="s">
        <v>486</v>
      </c>
      <c r="D83" s="95">
        <v>0</v>
      </c>
      <c r="E83" s="10">
        <f>IF(E$182=0,0,($D83*E23)/$D$23)</f>
        <v>0</v>
      </c>
      <c r="F83" s="10">
        <f t="shared" ref="F83:P83" si="63">IF(F$182=0,0,($D83*F23)/$D$23)</f>
        <v>0</v>
      </c>
      <c r="G83" s="10">
        <f t="shared" si="63"/>
        <v>0</v>
      </c>
      <c r="H83" s="10">
        <f t="shared" si="63"/>
        <v>0</v>
      </c>
      <c r="I83" s="10">
        <f t="shared" si="63"/>
        <v>0</v>
      </c>
      <c r="J83" s="10">
        <f t="shared" si="63"/>
        <v>0</v>
      </c>
      <c r="K83" s="10">
        <f t="shared" si="63"/>
        <v>0</v>
      </c>
      <c r="L83" s="10">
        <f t="shared" si="63"/>
        <v>0</v>
      </c>
      <c r="M83" s="10">
        <f t="shared" si="63"/>
        <v>0</v>
      </c>
      <c r="N83" s="10">
        <f t="shared" si="63"/>
        <v>0</v>
      </c>
      <c r="O83" s="10">
        <f t="shared" si="63"/>
        <v>0</v>
      </c>
      <c r="P83" s="10">
        <f t="shared" si="63"/>
        <v>0</v>
      </c>
    </row>
    <row r="84" spans="1:16" s="2" customFormat="1" x14ac:dyDescent="0.25">
      <c r="A84" s="2">
        <v>300</v>
      </c>
      <c r="B84" s="18" t="s">
        <v>485</v>
      </c>
      <c r="C84" s="2" t="s">
        <v>486</v>
      </c>
      <c r="D84" s="95">
        <v>1.4999999999999999E-2</v>
      </c>
      <c r="E84" s="10">
        <f>IF(E$182=0,0,($D84*E23)/$D$23)</f>
        <v>20300.999999999996</v>
      </c>
      <c r="F84" s="10">
        <f t="shared" ref="F84:P84" si="64">IF(F$182=0,0,($D84*F23)/$D$23)</f>
        <v>20862.322650000002</v>
      </c>
      <c r="G84" s="10">
        <f t="shared" si="64"/>
        <v>21430.9232085</v>
      </c>
      <c r="H84" s="10">
        <f t="shared" si="64"/>
        <v>22006.879269728444</v>
      </c>
      <c r="I84" s="10">
        <f t="shared" si="64"/>
        <v>22590.269182444827</v>
      </c>
      <c r="J84" s="10">
        <f t="shared" si="64"/>
        <v>23181.17205689304</v>
      </c>
      <c r="K84" s="10">
        <f t="shared" si="64"/>
        <v>23779.667771816465</v>
      </c>
      <c r="L84" s="10">
        <f t="shared" si="64"/>
        <v>24385.836981535536</v>
      </c>
      <c r="M84" s="10">
        <f t="shared" si="64"/>
        <v>25107.518714136018</v>
      </c>
      <c r="N84" s="10">
        <f t="shared" si="64"/>
        <v>25838.653969395305</v>
      </c>
      <c r="O84" s="10">
        <f t="shared" si="64"/>
        <v>26579.343955555811</v>
      </c>
      <c r="P84" s="10">
        <f t="shared" si="64"/>
        <v>27329.690867222944</v>
      </c>
    </row>
    <row r="85" spans="1:16" s="2" customFormat="1" hidden="1" outlineLevel="1" x14ac:dyDescent="0.25">
      <c r="A85" s="62">
        <v>6300</v>
      </c>
      <c r="B85" s="18" t="s">
        <v>595</v>
      </c>
      <c r="C85" s="297" t="s">
        <v>584</v>
      </c>
      <c r="D85" s="164">
        <v>0</v>
      </c>
      <c r="E85" s="107">
        <f>IF(E$182=0,0,$D85*250)</f>
        <v>0</v>
      </c>
      <c r="F85" s="107">
        <f t="shared" ref="F85:P85" si="65">IF(F$182=0,0,$D85*250)</f>
        <v>0</v>
      </c>
      <c r="G85" s="107">
        <f t="shared" si="65"/>
        <v>0</v>
      </c>
      <c r="H85" s="107">
        <f t="shared" si="65"/>
        <v>0</v>
      </c>
      <c r="I85" s="107">
        <f t="shared" si="65"/>
        <v>0</v>
      </c>
      <c r="J85" s="107">
        <f t="shared" si="65"/>
        <v>0</v>
      </c>
      <c r="K85" s="107">
        <f t="shared" si="65"/>
        <v>0</v>
      </c>
      <c r="L85" s="107">
        <f t="shared" si="65"/>
        <v>0</v>
      </c>
      <c r="M85" s="107">
        <f t="shared" si="65"/>
        <v>0</v>
      </c>
      <c r="N85" s="107">
        <f t="shared" si="65"/>
        <v>0</v>
      </c>
      <c r="O85" s="107">
        <f t="shared" si="65"/>
        <v>0</v>
      </c>
      <c r="P85" s="107">
        <f t="shared" si="65"/>
        <v>0</v>
      </c>
    </row>
    <row r="86" spans="1:16" s="2" customFormat="1" hidden="1" outlineLevel="1" x14ac:dyDescent="0.25">
      <c r="A86" s="62">
        <v>6300</v>
      </c>
      <c r="B86" s="18" t="s">
        <v>516</v>
      </c>
      <c r="C86" s="300" t="s">
        <v>594</v>
      </c>
      <c r="D86" s="199">
        <v>2</v>
      </c>
      <c r="E86" s="107">
        <f t="shared" ref="E86:P86" si="66">IF(E$182=0,0,ROUND(($D86*(1+E$5))*E$182,0))</f>
        <v>400</v>
      </c>
      <c r="F86" s="107">
        <f t="shared" si="66"/>
        <v>416</v>
      </c>
      <c r="G86" s="107">
        <f t="shared" si="66"/>
        <v>433</v>
      </c>
      <c r="H86" s="107">
        <f t="shared" si="66"/>
        <v>449</v>
      </c>
      <c r="I86" s="107">
        <f t="shared" si="66"/>
        <v>467</v>
      </c>
      <c r="J86" s="107">
        <f t="shared" si="66"/>
        <v>484</v>
      </c>
      <c r="K86" s="107">
        <f t="shared" si="66"/>
        <v>502</v>
      </c>
      <c r="L86" s="107">
        <f t="shared" si="66"/>
        <v>520</v>
      </c>
      <c r="M86" s="107">
        <f t="shared" si="66"/>
        <v>541</v>
      </c>
      <c r="N86" s="107">
        <f t="shared" si="66"/>
        <v>562</v>
      </c>
      <c r="O86" s="107">
        <f t="shared" si="66"/>
        <v>583</v>
      </c>
      <c r="P86" s="107">
        <f t="shared" si="66"/>
        <v>605</v>
      </c>
    </row>
    <row r="87" spans="1:16" s="2" customFormat="1" hidden="1" outlineLevel="1" x14ac:dyDescent="0.25">
      <c r="A87" s="62">
        <v>6300</v>
      </c>
      <c r="B87" s="18" t="s">
        <v>596</v>
      </c>
      <c r="C87" s="2" t="s">
        <v>593</v>
      </c>
      <c r="D87" s="164">
        <v>10</v>
      </c>
      <c r="E87" s="107">
        <f>IF(E$182=0,0,$D87*10)</f>
        <v>100</v>
      </c>
      <c r="F87" s="107">
        <f t="shared" ref="F87:P87" si="67">IF(F$182=0,0,$D87*10)</f>
        <v>100</v>
      </c>
      <c r="G87" s="107">
        <f t="shared" si="67"/>
        <v>100</v>
      </c>
      <c r="H87" s="107">
        <f t="shared" si="67"/>
        <v>100</v>
      </c>
      <c r="I87" s="107">
        <f t="shared" si="67"/>
        <v>100</v>
      </c>
      <c r="J87" s="107">
        <f t="shared" si="67"/>
        <v>100</v>
      </c>
      <c r="K87" s="107">
        <f t="shared" si="67"/>
        <v>100</v>
      </c>
      <c r="L87" s="107">
        <f t="shared" si="67"/>
        <v>100</v>
      </c>
      <c r="M87" s="107">
        <f t="shared" si="67"/>
        <v>100</v>
      </c>
      <c r="N87" s="107">
        <f t="shared" si="67"/>
        <v>100</v>
      </c>
      <c r="O87" s="107">
        <f t="shared" si="67"/>
        <v>100</v>
      </c>
      <c r="P87" s="107">
        <f t="shared" si="67"/>
        <v>100</v>
      </c>
    </row>
    <row r="88" spans="1:16" s="2" customFormat="1" hidden="1" outlineLevel="1" x14ac:dyDescent="0.25">
      <c r="A88" s="62">
        <v>6300</v>
      </c>
      <c r="B88" s="18" t="s">
        <v>597</v>
      </c>
      <c r="C88" s="2" t="s">
        <v>601</v>
      </c>
      <c r="D88" s="164">
        <v>5</v>
      </c>
      <c r="E88" s="107">
        <f>IF(E$182=0,0,$D88*25)</f>
        <v>125</v>
      </c>
      <c r="F88" s="107">
        <f t="shared" ref="F88:P88" si="68">IF(F$182=0,0,$D88*25)</f>
        <v>125</v>
      </c>
      <c r="G88" s="107">
        <f t="shared" si="68"/>
        <v>125</v>
      </c>
      <c r="H88" s="107">
        <f t="shared" si="68"/>
        <v>125</v>
      </c>
      <c r="I88" s="107">
        <f t="shared" si="68"/>
        <v>125</v>
      </c>
      <c r="J88" s="107">
        <f t="shared" si="68"/>
        <v>125</v>
      </c>
      <c r="K88" s="107">
        <f t="shared" si="68"/>
        <v>125</v>
      </c>
      <c r="L88" s="107">
        <f t="shared" si="68"/>
        <v>125</v>
      </c>
      <c r="M88" s="107">
        <f t="shared" si="68"/>
        <v>125</v>
      </c>
      <c r="N88" s="107">
        <f t="shared" si="68"/>
        <v>125</v>
      </c>
      <c r="O88" s="107">
        <f t="shared" si="68"/>
        <v>125</v>
      </c>
      <c r="P88" s="107">
        <f t="shared" si="68"/>
        <v>125</v>
      </c>
    </row>
    <row r="89" spans="1:16" s="2" customFormat="1" hidden="1" outlineLevel="1" x14ac:dyDescent="0.25">
      <c r="A89" s="62">
        <v>6300</v>
      </c>
      <c r="B89" s="18" t="s">
        <v>598</v>
      </c>
      <c r="C89" s="2" t="s">
        <v>660</v>
      </c>
      <c r="D89" s="164">
        <v>5</v>
      </c>
      <c r="E89" s="107">
        <f>IF(E$182=0,0,$D89*250)</f>
        <v>1250</v>
      </c>
      <c r="F89" s="107">
        <f t="shared" ref="F89:P89" si="69">IF(F$182=0,0,$D89*250)</f>
        <v>1250</v>
      </c>
      <c r="G89" s="107">
        <f t="shared" si="69"/>
        <v>1250</v>
      </c>
      <c r="H89" s="107">
        <f t="shared" si="69"/>
        <v>1250</v>
      </c>
      <c r="I89" s="107">
        <f t="shared" si="69"/>
        <v>1250</v>
      </c>
      <c r="J89" s="107">
        <f t="shared" si="69"/>
        <v>1250</v>
      </c>
      <c r="K89" s="107">
        <f t="shared" si="69"/>
        <v>1250</v>
      </c>
      <c r="L89" s="107">
        <f t="shared" si="69"/>
        <v>1250</v>
      </c>
      <c r="M89" s="107">
        <f t="shared" si="69"/>
        <v>1250</v>
      </c>
      <c r="N89" s="107">
        <f t="shared" si="69"/>
        <v>1250</v>
      </c>
      <c r="O89" s="107">
        <f t="shared" si="69"/>
        <v>1250</v>
      </c>
      <c r="P89" s="107">
        <f t="shared" si="69"/>
        <v>1250</v>
      </c>
    </row>
    <row r="90" spans="1:16" s="2" customFormat="1" hidden="1" outlineLevel="1" x14ac:dyDescent="0.25">
      <c r="A90" s="62">
        <v>6300</v>
      </c>
      <c r="B90" s="18" t="s">
        <v>600</v>
      </c>
      <c r="C90" s="2" t="s">
        <v>659</v>
      </c>
      <c r="D90" s="164">
        <v>0</v>
      </c>
      <c r="E90" s="107">
        <f>IF(E$182=0,0,$D90*400)</f>
        <v>0</v>
      </c>
      <c r="F90" s="107">
        <f t="shared" ref="F90:P90" si="70">IF(F$182=0,0,$D90*400)</f>
        <v>0</v>
      </c>
      <c r="G90" s="107">
        <f t="shared" si="70"/>
        <v>0</v>
      </c>
      <c r="H90" s="107">
        <f t="shared" si="70"/>
        <v>0</v>
      </c>
      <c r="I90" s="107">
        <f t="shared" si="70"/>
        <v>0</v>
      </c>
      <c r="J90" s="107">
        <f t="shared" si="70"/>
        <v>0</v>
      </c>
      <c r="K90" s="107">
        <f t="shared" si="70"/>
        <v>0</v>
      </c>
      <c r="L90" s="107">
        <f t="shared" si="70"/>
        <v>0</v>
      </c>
      <c r="M90" s="107">
        <f t="shared" si="70"/>
        <v>0</v>
      </c>
      <c r="N90" s="107">
        <f t="shared" si="70"/>
        <v>0</v>
      </c>
      <c r="O90" s="107">
        <f t="shared" si="70"/>
        <v>0</v>
      </c>
      <c r="P90" s="107">
        <f t="shared" si="70"/>
        <v>0</v>
      </c>
    </row>
    <row r="91" spans="1:16" s="2" customFormat="1" hidden="1" outlineLevel="1" x14ac:dyDescent="0.25">
      <c r="A91" s="62">
        <v>6300</v>
      </c>
      <c r="B91" s="18" t="s">
        <v>519</v>
      </c>
      <c r="C91" s="297" t="s">
        <v>617</v>
      </c>
      <c r="D91" s="164">
        <v>0</v>
      </c>
      <c r="E91" s="32">
        <f>IF(E$182=0,0,$D91*50)</f>
        <v>0</v>
      </c>
      <c r="F91" s="32">
        <f t="shared" ref="F91:P91" si="71">IF(F$182=0,0,$D91*50)</f>
        <v>0</v>
      </c>
      <c r="G91" s="32">
        <f t="shared" si="71"/>
        <v>0</v>
      </c>
      <c r="H91" s="32">
        <f t="shared" si="71"/>
        <v>0</v>
      </c>
      <c r="I91" s="32">
        <f t="shared" si="71"/>
        <v>0</v>
      </c>
      <c r="J91" s="32">
        <f t="shared" si="71"/>
        <v>0</v>
      </c>
      <c r="K91" s="32">
        <f t="shared" si="71"/>
        <v>0</v>
      </c>
      <c r="L91" s="32">
        <f t="shared" si="71"/>
        <v>0</v>
      </c>
      <c r="M91" s="32">
        <f t="shared" si="71"/>
        <v>0</v>
      </c>
      <c r="N91" s="32">
        <f t="shared" si="71"/>
        <v>0</v>
      </c>
      <c r="O91" s="32">
        <f t="shared" si="71"/>
        <v>0</v>
      </c>
      <c r="P91" s="32">
        <f t="shared" si="71"/>
        <v>0</v>
      </c>
    </row>
    <row r="92" spans="1:16" s="2" customFormat="1" collapsed="1" x14ac:dyDescent="0.25">
      <c r="A92" s="2">
        <v>300</v>
      </c>
      <c r="B92" s="18" t="s">
        <v>430</v>
      </c>
      <c r="D92" s="162"/>
      <c r="E92" s="10">
        <f>SUM(E85:E91)</f>
        <v>1875</v>
      </c>
      <c r="F92" s="10">
        <f t="shared" ref="F92:P92" si="72">SUM(F85:F91)</f>
        <v>1891</v>
      </c>
      <c r="G92" s="10">
        <f t="shared" si="72"/>
        <v>1908</v>
      </c>
      <c r="H92" s="10">
        <f t="shared" si="72"/>
        <v>1924</v>
      </c>
      <c r="I92" s="10">
        <f t="shared" si="72"/>
        <v>1942</v>
      </c>
      <c r="J92" s="10">
        <f t="shared" si="72"/>
        <v>1959</v>
      </c>
      <c r="K92" s="10">
        <f t="shared" si="72"/>
        <v>1977</v>
      </c>
      <c r="L92" s="10">
        <f t="shared" si="72"/>
        <v>1995</v>
      </c>
      <c r="M92" s="10">
        <f t="shared" si="72"/>
        <v>2016</v>
      </c>
      <c r="N92" s="10">
        <f t="shared" si="72"/>
        <v>2037</v>
      </c>
      <c r="O92" s="10">
        <f t="shared" si="72"/>
        <v>2058</v>
      </c>
      <c r="P92" s="10">
        <f t="shared" si="72"/>
        <v>2080</v>
      </c>
    </row>
    <row r="93" spans="1:16" s="2" customFormat="1" hidden="1" outlineLevel="2" x14ac:dyDescent="0.25">
      <c r="A93" s="62">
        <v>6320</v>
      </c>
      <c r="B93" s="18" t="s">
        <v>432</v>
      </c>
      <c r="C93" s="297" t="s">
        <v>604</v>
      </c>
      <c r="D93" s="96">
        <v>0</v>
      </c>
      <c r="E93" s="10">
        <f t="shared" ref="E93:P94" si="73">IF(E$182=0,0,($D93*(1+E$5)))</f>
        <v>0</v>
      </c>
      <c r="F93" s="10">
        <f t="shared" si="73"/>
        <v>0</v>
      </c>
      <c r="G93" s="10">
        <f t="shared" si="73"/>
        <v>0</v>
      </c>
      <c r="H93" s="10">
        <f t="shared" si="73"/>
        <v>0</v>
      </c>
      <c r="I93" s="10">
        <f t="shared" si="73"/>
        <v>0</v>
      </c>
      <c r="J93" s="10">
        <f t="shared" si="73"/>
        <v>0</v>
      </c>
      <c r="K93" s="10">
        <f t="shared" si="73"/>
        <v>0</v>
      </c>
      <c r="L93" s="10">
        <f t="shared" si="73"/>
        <v>0</v>
      </c>
      <c r="M93" s="10">
        <f t="shared" si="73"/>
        <v>0</v>
      </c>
      <c r="N93" s="10">
        <f t="shared" si="73"/>
        <v>0</v>
      </c>
      <c r="O93" s="10">
        <f t="shared" si="73"/>
        <v>0</v>
      </c>
      <c r="P93" s="10">
        <f t="shared" si="73"/>
        <v>0</v>
      </c>
    </row>
    <row r="94" spans="1:16" s="2" customFormat="1" hidden="1" outlineLevel="2" x14ac:dyDescent="0.25">
      <c r="A94" s="62">
        <v>6320</v>
      </c>
      <c r="B94" s="18" t="s">
        <v>431</v>
      </c>
      <c r="C94" s="297" t="s">
        <v>604</v>
      </c>
      <c r="D94" s="96">
        <v>0</v>
      </c>
      <c r="E94" s="154">
        <f t="shared" si="73"/>
        <v>0</v>
      </c>
      <c r="F94" s="154">
        <f t="shared" si="73"/>
        <v>0</v>
      </c>
      <c r="G94" s="154">
        <f t="shared" si="73"/>
        <v>0</v>
      </c>
      <c r="H94" s="154">
        <f t="shared" si="73"/>
        <v>0</v>
      </c>
      <c r="I94" s="154">
        <f t="shared" si="73"/>
        <v>0</v>
      </c>
      <c r="J94" s="154">
        <f t="shared" si="73"/>
        <v>0</v>
      </c>
      <c r="K94" s="154">
        <f t="shared" si="73"/>
        <v>0</v>
      </c>
      <c r="L94" s="154">
        <f t="shared" si="73"/>
        <v>0</v>
      </c>
      <c r="M94" s="154">
        <f t="shared" si="73"/>
        <v>0</v>
      </c>
      <c r="N94" s="154">
        <f t="shared" si="73"/>
        <v>0</v>
      </c>
      <c r="O94" s="154">
        <f t="shared" si="73"/>
        <v>0</v>
      </c>
      <c r="P94" s="154">
        <f t="shared" si="73"/>
        <v>0</v>
      </c>
    </row>
    <row r="95" spans="1:16" s="2" customFormat="1" hidden="1" outlineLevel="2" x14ac:dyDescent="0.25">
      <c r="A95" s="62">
        <v>6320</v>
      </c>
      <c r="B95" s="18" t="s">
        <v>433</v>
      </c>
      <c r="C95" s="2" t="s">
        <v>603</v>
      </c>
      <c r="D95" s="96">
        <v>1000</v>
      </c>
      <c r="E95" s="11">
        <f>IF(E$182=0,0,($D95*(0.5*E185)))</f>
        <v>2000</v>
      </c>
      <c r="F95" s="11">
        <f t="shared" ref="F95:P95" si="74">IF(F$182=0,0,($D95*(0.5*F185)))</f>
        <v>2000</v>
      </c>
      <c r="G95" s="11">
        <f t="shared" si="74"/>
        <v>2000</v>
      </c>
      <c r="H95" s="11">
        <f t="shared" si="74"/>
        <v>2000</v>
      </c>
      <c r="I95" s="11">
        <f t="shared" si="74"/>
        <v>2000</v>
      </c>
      <c r="J95" s="11">
        <f t="shared" si="74"/>
        <v>2000</v>
      </c>
      <c r="K95" s="11">
        <f t="shared" si="74"/>
        <v>2000</v>
      </c>
      <c r="L95" s="11">
        <f t="shared" si="74"/>
        <v>2500</v>
      </c>
      <c r="M95" s="11">
        <f t="shared" si="74"/>
        <v>2500</v>
      </c>
      <c r="N95" s="11">
        <f t="shared" si="74"/>
        <v>2500</v>
      </c>
      <c r="O95" s="11">
        <f t="shared" si="74"/>
        <v>2500</v>
      </c>
      <c r="P95" s="11">
        <f t="shared" si="74"/>
        <v>2500</v>
      </c>
    </row>
    <row r="96" spans="1:16" s="2" customFormat="1" collapsed="1" x14ac:dyDescent="0.25">
      <c r="A96" s="2">
        <v>320</v>
      </c>
      <c r="B96" s="18" t="s">
        <v>434</v>
      </c>
      <c r="E96" s="10">
        <f>SUM(E93:E95)</f>
        <v>2000</v>
      </c>
      <c r="F96" s="10">
        <f t="shared" ref="F96:P96" si="75">SUM(F93:F95)</f>
        <v>2000</v>
      </c>
      <c r="G96" s="10">
        <f t="shared" si="75"/>
        <v>2000</v>
      </c>
      <c r="H96" s="10">
        <f t="shared" si="75"/>
        <v>2000</v>
      </c>
      <c r="I96" s="10">
        <f t="shared" si="75"/>
        <v>2000</v>
      </c>
      <c r="J96" s="10">
        <f t="shared" si="75"/>
        <v>2000</v>
      </c>
      <c r="K96" s="10">
        <f t="shared" si="75"/>
        <v>2000</v>
      </c>
      <c r="L96" s="10">
        <f t="shared" si="75"/>
        <v>2500</v>
      </c>
      <c r="M96" s="10">
        <f t="shared" si="75"/>
        <v>2500</v>
      </c>
      <c r="N96" s="10">
        <f t="shared" si="75"/>
        <v>2500</v>
      </c>
      <c r="O96" s="10">
        <f t="shared" si="75"/>
        <v>2500</v>
      </c>
      <c r="P96" s="10">
        <f t="shared" si="75"/>
        <v>2500</v>
      </c>
    </row>
    <row r="97" spans="1:16" s="2" customFormat="1" hidden="1" outlineLevel="2" x14ac:dyDescent="0.25">
      <c r="A97" s="62">
        <v>6331</v>
      </c>
      <c r="B97" s="18" t="s">
        <v>436</v>
      </c>
      <c r="C97" s="302" t="s">
        <v>630</v>
      </c>
      <c r="D97" s="96">
        <v>750</v>
      </c>
      <c r="E97" s="6">
        <f>IF(E$182=0,0,((SUMIFS(E$188:E$196,$A$188:$A$196,$A188)))*$D97)</f>
        <v>750</v>
      </c>
      <c r="F97" s="6">
        <f t="shared" ref="F97:P97" si="76">IF(F$182=0,0,((SUMIFS(F$188:F$196,$A$188:$A$196,$A188)))*$D97)</f>
        <v>750</v>
      </c>
      <c r="G97" s="6">
        <f t="shared" si="76"/>
        <v>750</v>
      </c>
      <c r="H97" s="6">
        <f t="shared" si="76"/>
        <v>750</v>
      </c>
      <c r="I97" s="6">
        <f t="shared" si="76"/>
        <v>750</v>
      </c>
      <c r="J97" s="6">
        <f t="shared" si="76"/>
        <v>750</v>
      </c>
      <c r="K97" s="6">
        <f t="shared" si="76"/>
        <v>750</v>
      </c>
      <c r="L97" s="6">
        <f t="shared" si="76"/>
        <v>750</v>
      </c>
      <c r="M97" s="6">
        <f t="shared" si="76"/>
        <v>750</v>
      </c>
      <c r="N97" s="6">
        <f t="shared" si="76"/>
        <v>750</v>
      </c>
      <c r="O97" s="6">
        <f t="shared" si="76"/>
        <v>750</v>
      </c>
      <c r="P97" s="6">
        <f t="shared" si="76"/>
        <v>750</v>
      </c>
    </row>
    <row r="98" spans="1:16" s="2" customFormat="1" hidden="1" outlineLevel="2" x14ac:dyDescent="0.25">
      <c r="A98" s="62">
        <v>6333</v>
      </c>
      <c r="B98" s="18" t="s">
        <v>437</v>
      </c>
      <c r="C98" s="302" t="s">
        <v>629</v>
      </c>
      <c r="D98" s="96">
        <v>1500</v>
      </c>
      <c r="E98" s="6">
        <f>IF(E$182=0,0,((SUMIFS(E$188:E$196,$A$188:$A$196,$A189)))*$D98)</f>
        <v>1500</v>
      </c>
      <c r="F98" s="6">
        <f t="shared" ref="F98:P98" si="77">IF(F$182=0,0,((SUMIFS(F$188:F$196,$A$188:$A$196,$A189)))*$D98)</f>
        <v>1500</v>
      </c>
      <c r="G98" s="6">
        <f t="shared" si="77"/>
        <v>1500</v>
      </c>
      <c r="H98" s="6">
        <f t="shared" si="77"/>
        <v>1500</v>
      </c>
      <c r="I98" s="6">
        <f t="shared" si="77"/>
        <v>1500</v>
      </c>
      <c r="J98" s="6">
        <f t="shared" si="77"/>
        <v>1500</v>
      </c>
      <c r="K98" s="6">
        <f t="shared" si="77"/>
        <v>1500</v>
      </c>
      <c r="L98" s="6">
        <f t="shared" si="77"/>
        <v>1500</v>
      </c>
      <c r="M98" s="6">
        <f t="shared" si="77"/>
        <v>1500</v>
      </c>
      <c r="N98" s="6">
        <f t="shared" si="77"/>
        <v>1500</v>
      </c>
      <c r="O98" s="6">
        <f t="shared" si="77"/>
        <v>1500</v>
      </c>
      <c r="P98" s="6">
        <f t="shared" si="77"/>
        <v>1500</v>
      </c>
    </row>
    <row r="99" spans="1:16" s="2" customFormat="1" hidden="1" outlineLevel="2" x14ac:dyDescent="0.25">
      <c r="A99" s="62">
        <v>6336</v>
      </c>
      <c r="B99" s="18" t="s">
        <v>438</v>
      </c>
      <c r="C99" s="302" t="s">
        <v>631</v>
      </c>
      <c r="D99" s="96">
        <v>500</v>
      </c>
      <c r="E99" s="6">
        <f>IF(E$182=0,0,((SUMIFS(E$188:E$196,$A$188:$A$196,$A190)))*$D99)</f>
        <v>500</v>
      </c>
      <c r="F99" s="6">
        <f t="shared" ref="F99:P99" si="78">IF(F$182=0,0,((SUMIFS(F$188:F$196,$A$188:$A$196,$A190)))*$D99)</f>
        <v>500</v>
      </c>
      <c r="G99" s="6">
        <f t="shared" si="78"/>
        <v>500</v>
      </c>
      <c r="H99" s="6">
        <f t="shared" si="78"/>
        <v>500</v>
      </c>
      <c r="I99" s="6">
        <f t="shared" si="78"/>
        <v>500</v>
      </c>
      <c r="J99" s="6">
        <f t="shared" si="78"/>
        <v>500</v>
      </c>
      <c r="K99" s="6">
        <f t="shared" si="78"/>
        <v>500</v>
      </c>
      <c r="L99" s="6">
        <f t="shared" si="78"/>
        <v>500</v>
      </c>
      <c r="M99" s="6">
        <f t="shared" si="78"/>
        <v>500</v>
      </c>
      <c r="N99" s="6">
        <f t="shared" si="78"/>
        <v>500</v>
      </c>
      <c r="O99" s="6">
        <f t="shared" si="78"/>
        <v>500</v>
      </c>
      <c r="P99" s="6">
        <f t="shared" si="78"/>
        <v>500</v>
      </c>
    </row>
    <row r="100" spans="1:16" s="2" customFormat="1" hidden="1" outlineLevel="2" x14ac:dyDescent="0.25">
      <c r="A100" s="62">
        <v>6337</v>
      </c>
      <c r="B100" s="18" t="s">
        <v>439</v>
      </c>
      <c r="C100" s="302" t="s">
        <v>632</v>
      </c>
      <c r="D100" s="85">
        <v>125</v>
      </c>
      <c r="E100" s="32">
        <f>IF(E$182=0,0,((SUMIFS(E$188:E$196,$A$188:$A$196,$A191)))*$D100)</f>
        <v>250</v>
      </c>
      <c r="F100" s="32">
        <f t="shared" ref="F100:P100" si="79">IF(F$182=0,0,((SUMIFS(F$188:F$196,$A$188:$A$196,$A191)))*$D100)</f>
        <v>375</v>
      </c>
      <c r="G100" s="32">
        <f t="shared" si="79"/>
        <v>375</v>
      </c>
      <c r="H100" s="32">
        <f t="shared" si="79"/>
        <v>375</v>
      </c>
      <c r="I100" s="32">
        <f t="shared" si="79"/>
        <v>375</v>
      </c>
      <c r="J100" s="32">
        <f t="shared" si="79"/>
        <v>375</v>
      </c>
      <c r="K100" s="32">
        <f t="shared" si="79"/>
        <v>375</v>
      </c>
      <c r="L100" s="32">
        <f t="shared" si="79"/>
        <v>375</v>
      </c>
      <c r="M100" s="32">
        <f t="shared" si="79"/>
        <v>375</v>
      </c>
      <c r="N100" s="32">
        <f t="shared" si="79"/>
        <v>375</v>
      </c>
      <c r="O100" s="32">
        <f t="shared" si="79"/>
        <v>375</v>
      </c>
      <c r="P100" s="32">
        <f t="shared" si="79"/>
        <v>375</v>
      </c>
    </row>
    <row r="101" spans="1:16" s="2" customFormat="1" collapsed="1" x14ac:dyDescent="0.25">
      <c r="A101" s="2">
        <v>330</v>
      </c>
      <c r="B101" s="18" t="s">
        <v>435</v>
      </c>
      <c r="C101" s="162"/>
      <c r="D101" s="162"/>
      <c r="E101" s="10">
        <f>SUM(E97:E100)</f>
        <v>3000</v>
      </c>
      <c r="F101" s="10">
        <f t="shared" ref="F101:P101" si="80">SUM(F97:F100)</f>
        <v>3125</v>
      </c>
      <c r="G101" s="10">
        <f t="shared" si="80"/>
        <v>3125</v>
      </c>
      <c r="H101" s="10">
        <f t="shared" si="80"/>
        <v>3125</v>
      </c>
      <c r="I101" s="10">
        <f t="shared" si="80"/>
        <v>3125</v>
      </c>
      <c r="J101" s="10">
        <f t="shared" si="80"/>
        <v>3125</v>
      </c>
      <c r="K101" s="10">
        <f t="shared" si="80"/>
        <v>3125</v>
      </c>
      <c r="L101" s="10">
        <f t="shared" si="80"/>
        <v>3125</v>
      </c>
      <c r="M101" s="10">
        <f t="shared" si="80"/>
        <v>3125</v>
      </c>
      <c r="N101" s="10">
        <f t="shared" si="80"/>
        <v>3125</v>
      </c>
      <c r="O101" s="10">
        <f t="shared" si="80"/>
        <v>3125</v>
      </c>
      <c r="P101" s="10">
        <f t="shared" si="80"/>
        <v>3125</v>
      </c>
    </row>
    <row r="102" spans="1:16" s="2" customFormat="1" x14ac:dyDescent="0.25">
      <c r="A102" s="2">
        <v>340</v>
      </c>
      <c r="B102" s="18" t="s">
        <v>704</v>
      </c>
      <c r="C102" s="297" t="s">
        <v>604</v>
      </c>
      <c r="D102" s="96">
        <v>0</v>
      </c>
      <c r="E102" s="107">
        <f t="shared" ref="E102:P107" si="81">IF(E$182=0,0,$D102)</f>
        <v>0</v>
      </c>
      <c r="F102" s="107">
        <f t="shared" si="81"/>
        <v>0</v>
      </c>
      <c r="G102" s="107">
        <f t="shared" si="81"/>
        <v>0</v>
      </c>
      <c r="H102" s="107">
        <f t="shared" si="81"/>
        <v>0</v>
      </c>
      <c r="I102" s="107">
        <f t="shared" si="81"/>
        <v>0</v>
      </c>
      <c r="J102" s="107">
        <f t="shared" si="81"/>
        <v>0</v>
      </c>
      <c r="K102" s="107">
        <f t="shared" si="81"/>
        <v>0</v>
      </c>
      <c r="L102" s="107">
        <f t="shared" si="81"/>
        <v>0</v>
      </c>
      <c r="M102" s="107">
        <f t="shared" si="81"/>
        <v>0</v>
      </c>
      <c r="N102" s="107">
        <f t="shared" si="81"/>
        <v>0</v>
      </c>
      <c r="O102" s="107">
        <f t="shared" si="81"/>
        <v>0</v>
      </c>
      <c r="P102" s="107">
        <f t="shared" si="81"/>
        <v>0</v>
      </c>
    </row>
    <row r="103" spans="1:16" s="2" customFormat="1" x14ac:dyDescent="0.25">
      <c r="A103" s="2">
        <v>340</v>
      </c>
      <c r="B103" s="18" t="s">
        <v>488</v>
      </c>
      <c r="C103" s="297" t="s">
        <v>604</v>
      </c>
      <c r="D103" s="96">
        <v>0</v>
      </c>
      <c r="E103" s="107">
        <f t="shared" si="81"/>
        <v>0</v>
      </c>
      <c r="F103" s="107">
        <f t="shared" si="81"/>
        <v>0</v>
      </c>
      <c r="G103" s="107">
        <f t="shared" si="81"/>
        <v>0</v>
      </c>
      <c r="H103" s="107">
        <f t="shared" si="81"/>
        <v>0</v>
      </c>
      <c r="I103" s="107">
        <f t="shared" si="81"/>
        <v>0</v>
      </c>
      <c r="J103" s="107">
        <f t="shared" si="81"/>
        <v>0</v>
      </c>
      <c r="K103" s="107">
        <f t="shared" si="81"/>
        <v>0</v>
      </c>
      <c r="L103" s="107">
        <f t="shared" si="81"/>
        <v>0</v>
      </c>
      <c r="M103" s="107">
        <f t="shared" si="81"/>
        <v>0</v>
      </c>
      <c r="N103" s="107">
        <f t="shared" si="81"/>
        <v>0</v>
      </c>
      <c r="O103" s="107">
        <f t="shared" si="81"/>
        <v>0</v>
      </c>
      <c r="P103" s="107">
        <f t="shared" si="81"/>
        <v>0</v>
      </c>
    </row>
    <row r="104" spans="1:16" s="2" customFormat="1" x14ac:dyDescent="0.25">
      <c r="A104" s="2">
        <v>340</v>
      </c>
      <c r="B104" s="18" t="s">
        <v>489</v>
      </c>
      <c r="C104" s="297" t="s">
        <v>604</v>
      </c>
      <c r="D104" s="96">
        <v>0</v>
      </c>
      <c r="E104" s="107">
        <f t="shared" si="81"/>
        <v>0</v>
      </c>
      <c r="F104" s="107">
        <f t="shared" si="81"/>
        <v>0</v>
      </c>
      <c r="G104" s="107">
        <f t="shared" si="81"/>
        <v>0</v>
      </c>
      <c r="H104" s="107">
        <f t="shared" si="81"/>
        <v>0</v>
      </c>
      <c r="I104" s="107">
        <f t="shared" si="81"/>
        <v>0</v>
      </c>
      <c r="J104" s="107">
        <f t="shared" si="81"/>
        <v>0</v>
      </c>
      <c r="K104" s="107">
        <f t="shared" si="81"/>
        <v>0</v>
      </c>
      <c r="L104" s="107">
        <f t="shared" si="81"/>
        <v>0</v>
      </c>
      <c r="M104" s="107">
        <f t="shared" si="81"/>
        <v>0</v>
      </c>
      <c r="N104" s="107">
        <f t="shared" si="81"/>
        <v>0</v>
      </c>
      <c r="O104" s="107">
        <f t="shared" si="81"/>
        <v>0</v>
      </c>
      <c r="P104" s="107">
        <f t="shared" si="81"/>
        <v>0</v>
      </c>
    </row>
    <row r="105" spans="1:16" s="2" customFormat="1" x14ac:dyDescent="0.25">
      <c r="A105" s="2">
        <v>340</v>
      </c>
      <c r="B105" s="18" t="s">
        <v>490</v>
      </c>
      <c r="C105" s="297" t="s">
        <v>604</v>
      </c>
      <c r="D105" s="96">
        <v>0</v>
      </c>
      <c r="E105" s="107">
        <f t="shared" si="81"/>
        <v>0</v>
      </c>
      <c r="F105" s="107">
        <f t="shared" si="81"/>
        <v>0</v>
      </c>
      <c r="G105" s="107">
        <f t="shared" si="81"/>
        <v>0</v>
      </c>
      <c r="H105" s="107">
        <f t="shared" si="81"/>
        <v>0</v>
      </c>
      <c r="I105" s="107">
        <f t="shared" si="81"/>
        <v>0</v>
      </c>
      <c r="J105" s="107">
        <f t="shared" si="81"/>
        <v>0</v>
      </c>
      <c r="K105" s="107">
        <f t="shared" si="81"/>
        <v>0</v>
      </c>
      <c r="L105" s="107">
        <f t="shared" si="81"/>
        <v>0</v>
      </c>
      <c r="M105" s="107">
        <f t="shared" si="81"/>
        <v>0</v>
      </c>
      <c r="N105" s="107">
        <f t="shared" si="81"/>
        <v>0</v>
      </c>
      <c r="O105" s="107">
        <f t="shared" si="81"/>
        <v>0</v>
      </c>
      <c r="P105" s="107">
        <f t="shared" si="81"/>
        <v>0</v>
      </c>
    </row>
    <row r="106" spans="1:16" s="2" customFormat="1" hidden="1" outlineLevel="1" x14ac:dyDescent="0.25">
      <c r="A106" s="62">
        <v>6340</v>
      </c>
      <c r="B106" s="198" t="s">
        <v>615</v>
      </c>
      <c r="C106" s="297" t="s">
        <v>604</v>
      </c>
      <c r="D106" s="96">
        <v>0</v>
      </c>
      <c r="E106" s="107">
        <f t="shared" si="81"/>
        <v>0</v>
      </c>
      <c r="F106" s="107">
        <f t="shared" si="81"/>
        <v>0</v>
      </c>
      <c r="G106" s="107">
        <f t="shared" si="81"/>
        <v>0</v>
      </c>
      <c r="H106" s="107">
        <f t="shared" si="81"/>
        <v>0</v>
      </c>
      <c r="I106" s="107">
        <f t="shared" si="81"/>
        <v>0</v>
      </c>
      <c r="J106" s="107">
        <f t="shared" si="81"/>
        <v>0</v>
      </c>
      <c r="K106" s="107">
        <f t="shared" si="81"/>
        <v>0</v>
      </c>
      <c r="L106" s="107">
        <f t="shared" si="81"/>
        <v>0</v>
      </c>
      <c r="M106" s="107">
        <f t="shared" si="81"/>
        <v>0</v>
      </c>
      <c r="N106" s="107">
        <f t="shared" si="81"/>
        <v>0</v>
      </c>
      <c r="O106" s="107">
        <f t="shared" si="81"/>
        <v>0</v>
      </c>
      <c r="P106" s="107">
        <f t="shared" si="81"/>
        <v>0</v>
      </c>
    </row>
    <row r="107" spans="1:16" s="2" customFormat="1" hidden="1" outlineLevel="1" x14ac:dyDescent="0.25">
      <c r="A107" s="62">
        <v>6345</v>
      </c>
      <c r="B107" s="18" t="s">
        <v>616</v>
      </c>
      <c r="C107" s="297" t="s">
        <v>604</v>
      </c>
      <c r="D107" s="96">
        <v>0</v>
      </c>
      <c r="E107" s="32">
        <f t="shared" si="81"/>
        <v>0</v>
      </c>
      <c r="F107" s="32">
        <f t="shared" si="81"/>
        <v>0</v>
      </c>
      <c r="G107" s="32">
        <f t="shared" si="81"/>
        <v>0</v>
      </c>
      <c r="H107" s="32">
        <f t="shared" si="81"/>
        <v>0</v>
      </c>
      <c r="I107" s="32">
        <f t="shared" si="81"/>
        <v>0</v>
      </c>
      <c r="J107" s="32">
        <f t="shared" si="81"/>
        <v>0</v>
      </c>
      <c r="K107" s="32">
        <f t="shared" si="81"/>
        <v>0</v>
      </c>
      <c r="L107" s="32">
        <f t="shared" si="81"/>
        <v>0</v>
      </c>
      <c r="M107" s="32">
        <f t="shared" si="81"/>
        <v>0</v>
      </c>
      <c r="N107" s="32">
        <f t="shared" si="81"/>
        <v>0</v>
      </c>
      <c r="O107" s="32">
        <f t="shared" si="81"/>
        <v>0</v>
      </c>
      <c r="P107" s="32">
        <f t="shared" si="81"/>
        <v>0</v>
      </c>
    </row>
    <row r="108" spans="1:16" s="2" customFormat="1" collapsed="1" x14ac:dyDescent="0.25">
      <c r="A108" s="2">
        <v>340</v>
      </c>
      <c r="B108" s="18" t="s">
        <v>440</v>
      </c>
      <c r="C108" s="162"/>
      <c r="D108" s="162"/>
      <c r="E108" s="10">
        <f>SUM(E106:E107)</f>
        <v>0</v>
      </c>
      <c r="F108" s="10">
        <f t="shared" ref="F108:P108" si="82">SUM(F106:F107)</f>
        <v>0</v>
      </c>
      <c r="G108" s="10">
        <f t="shared" si="82"/>
        <v>0</v>
      </c>
      <c r="H108" s="10">
        <f t="shared" si="82"/>
        <v>0</v>
      </c>
      <c r="I108" s="10">
        <f t="shared" si="82"/>
        <v>0</v>
      </c>
      <c r="J108" s="10">
        <f t="shared" si="82"/>
        <v>0</v>
      </c>
      <c r="K108" s="10">
        <f t="shared" si="82"/>
        <v>0</v>
      </c>
      <c r="L108" s="10">
        <f t="shared" si="82"/>
        <v>0</v>
      </c>
      <c r="M108" s="10">
        <f t="shared" si="82"/>
        <v>0</v>
      </c>
      <c r="N108" s="10">
        <f t="shared" si="82"/>
        <v>0</v>
      </c>
      <c r="O108" s="10">
        <f t="shared" si="82"/>
        <v>0</v>
      </c>
      <c r="P108" s="10">
        <f t="shared" si="82"/>
        <v>0</v>
      </c>
    </row>
    <row r="109" spans="1:16" s="2" customFormat="1" x14ac:dyDescent="0.25">
      <c r="A109" s="2">
        <v>350</v>
      </c>
      <c r="B109" s="18" t="s">
        <v>493</v>
      </c>
      <c r="C109" s="297" t="s">
        <v>656</v>
      </c>
      <c r="D109" s="164">
        <v>0</v>
      </c>
      <c r="E109" s="107">
        <f>IF(E$182=0,0,($D109*100))</f>
        <v>0</v>
      </c>
      <c r="F109" s="107">
        <f t="shared" ref="F109:P109" si="83">IF(F$182=0,0,($D109*100))</f>
        <v>0</v>
      </c>
      <c r="G109" s="107">
        <f t="shared" si="83"/>
        <v>0</v>
      </c>
      <c r="H109" s="107">
        <f t="shared" si="83"/>
        <v>0</v>
      </c>
      <c r="I109" s="107">
        <f t="shared" si="83"/>
        <v>0</v>
      </c>
      <c r="J109" s="107">
        <f t="shared" si="83"/>
        <v>0</v>
      </c>
      <c r="K109" s="107">
        <f t="shared" si="83"/>
        <v>0</v>
      </c>
      <c r="L109" s="107">
        <f t="shared" si="83"/>
        <v>0</v>
      </c>
      <c r="M109" s="107">
        <f t="shared" si="83"/>
        <v>0</v>
      </c>
      <c r="N109" s="107">
        <f t="shared" si="83"/>
        <v>0</v>
      </c>
      <c r="O109" s="107">
        <f t="shared" si="83"/>
        <v>0</v>
      </c>
      <c r="P109" s="107">
        <f t="shared" si="83"/>
        <v>0</v>
      </c>
    </row>
    <row r="110" spans="1:16" s="2" customFormat="1" hidden="1" outlineLevel="1" x14ac:dyDescent="0.25">
      <c r="A110" s="62">
        <v>6351</v>
      </c>
      <c r="B110" s="133" t="s">
        <v>487</v>
      </c>
      <c r="C110" s="297" t="s">
        <v>700</v>
      </c>
      <c r="D110" s="199">
        <v>0</v>
      </c>
      <c r="E110" s="10">
        <f>ROUND((($D110*(1+E$11))*E$182*1.5),0)</f>
        <v>0</v>
      </c>
      <c r="F110" s="10">
        <f t="shared" ref="F110:P110" si="84">ROUND((($D110*(1+F$11))*F$182*1.5),0)</f>
        <v>0</v>
      </c>
      <c r="G110" s="10">
        <f t="shared" si="84"/>
        <v>0</v>
      </c>
      <c r="H110" s="10">
        <f t="shared" si="84"/>
        <v>0</v>
      </c>
      <c r="I110" s="10">
        <f t="shared" si="84"/>
        <v>0</v>
      </c>
      <c r="J110" s="10">
        <f t="shared" si="84"/>
        <v>0</v>
      </c>
      <c r="K110" s="10">
        <f t="shared" si="84"/>
        <v>0</v>
      </c>
      <c r="L110" s="10">
        <f t="shared" si="84"/>
        <v>0</v>
      </c>
      <c r="M110" s="10">
        <f t="shared" si="84"/>
        <v>0</v>
      </c>
      <c r="N110" s="10">
        <f t="shared" si="84"/>
        <v>0</v>
      </c>
      <c r="O110" s="10">
        <f t="shared" si="84"/>
        <v>0</v>
      </c>
      <c r="P110" s="10">
        <f t="shared" si="84"/>
        <v>0</v>
      </c>
    </row>
    <row r="111" spans="1:16" s="2" customFormat="1" hidden="1" outlineLevel="1" x14ac:dyDescent="0.25">
      <c r="A111" s="62">
        <v>6351</v>
      </c>
      <c r="B111" s="133" t="s">
        <v>441</v>
      </c>
      <c r="C111" s="297" t="s">
        <v>701</v>
      </c>
      <c r="D111" s="199">
        <v>40</v>
      </c>
      <c r="E111" s="10">
        <f>ROUND((($D111*(1+E$11))*E$182*0.75),0)</f>
        <v>6000</v>
      </c>
      <c r="F111" s="10">
        <f t="shared" ref="F111:P111" si="85">ROUND((($D111*(1+F$11))*F$182*0.75),0)</f>
        <v>6242</v>
      </c>
      <c r="G111" s="10">
        <f t="shared" si="85"/>
        <v>6490</v>
      </c>
      <c r="H111" s="10">
        <f t="shared" si="85"/>
        <v>6742</v>
      </c>
      <c r="I111" s="10">
        <f t="shared" si="85"/>
        <v>6998</v>
      </c>
      <c r="J111" s="10">
        <f t="shared" si="85"/>
        <v>7260</v>
      </c>
      <c r="K111" s="10">
        <f t="shared" si="85"/>
        <v>7526</v>
      </c>
      <c r="L111" s="10">
        <f t="shared" si="85"/>
        <v>7798</v>
      </c>
      <c r="M111" s="10">
        <f t="shared" si="85"/>
        <v>8108</v>
      </c>
      <c r="N111" s="10">
        <f t="shared" si="85"/>
        <v>8425</v>
      </c>
      <c r="O111" s="10">
        <f t="shared" si="85"/>
        <v>8748</v>
      </c>
      <c r="P111" s="10">
        <f t="shared" si="85"/>
        <v>9077</v>
      </c>
    </row>
    <row r="112" spans="1:16" s="2" customFormat="1" hidden="1" outlineLevel="1" x14ac:dyDescent="0.25">
      <c r="A112" s="62">
        <v>6351</v>
      </c>
      <c r="B112" s="133" t="s">
        <v>442</v>
      </c>
      <c r="C112" s="297" t="s">
        <v>702</v>
      </c>
      <c r="D112" s="199">
        <v>7</v>
      </c>
      <c r="E112" s="10">
        <f>ROUND((($D112*(1+E$11))*E$182),0)</f>
        <v>1400</v>
      </c>
      <c r="F112" s="10">
        <f t="shared" ref="F112:P113" si="86">ROUND((($D112*(1+F$11))*F$182),0)</f>
        <v>1457</v>
      </c>
      <c r="G112" s="10">
        <f t="shared" si="86"/>
        <v>1514</v>
      </c>
      <c r="H112" s="10">
        <f t="shared" si="86"/>
        <v>1573</v>
      </c>
      <c r="I112" s="10">
        <f t="shared" si="86"/>
        <v>1633</v>
      </c>
      <c r="J112" s="10">
        <f t="shared" si="86"/>
        <v>1694</v>
      </c>
      <c r="K112" s="10">
        <f t="shared" si="86"/>
        <v>1756</v>
      </c>
      <c r="L112" s="10">
        <f t="shared" si="86"/>
        <v>1819</v>
      </c>
      <c r="M112" s="10">
        <f t="shared" si="86"/>
        <v>1892</v>
      </c>
      <c r="N112" s="10">
        <f t="shared" si="86"/>
        <v>1966</v>
      </c>
      <c r="O112" s="10">
        <f t="shared" si="86"/>
        <v>2041</v>
      </c>
      <c r="P112" s="10">
        <f t="shared" si="86"/>
        <v>2118</v>
      </c>
    </row>
    <row r="113" spans="1:16" s="2" customFormat="1" hidden="1" outlineLevel="1" x14ac:dyDescent="0.25">
      <c r="A113" s="62">
        <v>6351</v>
      </c>
      <c r="B113" s="198" t="s">
        <v>763</v>
      </c>
      <c r="C113" s="297" t="s">
        <v>702</v>
      </c>
      <c r="D113" s="199">
        <v>10</v>
      </c>
      <c r="E113" s="11">
        <f>ROUND((($D113*(1+E$11))*E$182),0)</f>
        <v>2000</v>
      </c>
      <c r="F113" s="11">
        <f t="shared" si="86"/>
        <v>2081</v>
      </c>
      <c r="G113" s="11">
        <f t="shared" si="86"/>
        <v>2163</v>
      </c>
      <c r="H113" s="11">
        <f t="shared" si="86"/>
        <v>2247</v>
      </c>
      <c r="I113" s="11">
        <f t="shared" si="86"/>
        <v>2333</v>
      </c>
      <c r="J113" s="11">
        <f t="shared" si="86"/>
        <v>2420</v>
      </c>
      <c r="K113" s="11">
        <f t="shared" si="86"/>
        <v>2509</v>
      </c>
      <c r="L113" s="11">
        <f t="shared" si="86"/>
        <v>2599</v>
      </c>
      <c r="M113" s="11">
        <f t="shared" si="86"/>
        <v>2703</v>
      </c>
      <c r="N113" s="11">
        <f t="shared" si="86"/>
        <v>2808</v>
      </c>
      <c r="O113" s="11">
        <f t="shared" si="86"/>
        <v>2916</v>
      </c>
      <c r="P113" s="11">
        <f t="shared" si="86"/>
        <v>3026</v>
      </c>
    </row>
    <row r="114" spans="1:16" s="2" customFormat="1" collapsed="1" x14ac:dyDescent="0.25">
      <c r="A114" s="2">
        <v>351</v>
      </c>
      <c r="B114" s="18" t="s">
        <v>494</v>
      </c>
      <c r="C114" s="162"/>
      <c r="D114" s="162"/>
      <c r="E114" s="10">
        <f>SUM(E110:E113)</f>
        <v>9400</v>
      </c>
      <c r="F114" s="10">
        <f t="shared" ref="F114:P114" si="87">SUM(F110:F113)</f>
        <v>9780</v>
      </c>
      <c r="G114" s="10">
        <f t="shared" si="87"/>
        <v>10167</v>
      </c>
      <c r="H114" s="10">
        <f t="shared" si="87"/>
        <v>10562</v>
      </c>
      <c r="I114" s="10">
        <f t="shared" si="87"/>
        <v>10964</v>
      </c>
      <c r="J114" s="10">
        <f t="shared" si="87"/>
        <v>11374</v>
      </c>
      <c r="K114" s="10">
        <f t="shared" si="87"/>
        <v>11791</v>
      </c>
      <c r="L114" s="10">
        <f t="shared" si="87"/>
        <v>12216</v>
      </c>
      <c r="M114" s="10">
        <f t="shared" si="87"/>
        <v>12703</v>
      </c>
      <c r="N114" s="10">
        <f t="shared" si="87"/>
        <v>13199</v>
      </c>
      <c r="O114" s="10">
        <f t="shared" si="87"/>
        <v>13705</v>
      </c>
      <c r="P114" s="10">
        <f t="shared" si="87"/>
        <v>14221</v>
      </c>
    </row>
    <row r="115" spans="1:16" s="2" customFormat="1" hidden="1" outlineLevel="1" x14ac:dyDescent="0.25">
      <c r="A115" s="62">
        <v>6410</v>
      </c>
      <c r="B115" s="18" t="s">
        <v>443</v>
      </c>
      <c r="C115" s="2" t="s">
        <v>592</v>
      </c>
      <c r="D115" s="85"/>
      <c r="E115" s="10">
        <f t="shared" ref="E115:P115" si="88">IF(E$182=0,0,($D115*12)*(1+E$11))</f>
        <v>0</v>
      </c>
      <c r="F115" s="10">
        <f t="shared" si="88"/>
        <v>0</v>
      </c>
      <c r="G115" s="10">
        <f t="shared" si="88"/>
        <v>0</v>
      </c>
      <c r="H115" s="10">
        <f t="shared" si="88"/>
        <v>0</v>
      </c>
      <c r="I115" s="10">
        <f t="shared" si="88"/>
        <v>0</v>
      </c>
      <c r="J115" s="10">
        <f t="shared" si="88"/>
        <v>0</v>
      </c>
      <c r="K115" s="10">
        <f t="shared" si="88"/>
        <v>0</v>
      </c>
      <c r="L115" s="10">
        <f t="shared" si="88"/>
        <v>0</v>
      </c>
      <c r="M115" s="10">
        <f t="shared" si="88"/>
        <v>0</v>
      </c>
      <c r="N115" s="10">
        <f t="shared" si="88"/>
        <v>0</v>
      </c>
      <c r="O115" s="10">
        <f t="shared" si="88"/>
        <v>0</v>
      </c>
      <c r="P115" s="10">
        <f t="shared" si="88"/>
        <v>0</v>
      </c>
    </row>
    <row r="116" spans="1:16" s="2" customFormat="1" hidden="1" outlineLevel="1" x14ac:dyDescent="0.25">
      <c r="A116" s="2">
        <v>6420</v>
      </c>
      <c r="B116" s="18" t="s">
        <v>444</v>
      </c>
      <c r="C116" s="180" t="s">
        <v>591</v>
      </c>
      <c r="D116" s="85">
        <v>500</v>
      </c>
      <c r="E116" s="10">
        <f>IF(E$182=0,0,$D116*12)</f>
        <v>6000</v>
      </c>
      <c r="F116" s="10">
        <f t="shared" ref="F116:P116" si="89">IF(F$182=0,0,$D116*12)</f>
        <v>6000</v>
      </c>
      <c r="G116" s="10">
        <f t="shared" si="89"/>
        <v>6000</v>
      </c>
      <c r="H116" s="10">
        <f t="shared" si="89"/>
        <v>6000</v>
      </c>
      <c r="I116" s="10">
        <f t="shared" si="89"/>
        <v>6000</v>
      </c>
      <c r="J116" s="10">
        <f t="shared" si="89"/>
        <v>6000</v>
      </c>
      <c r="K116" s="10">
        <f t="shared" si="89"/>
        <v>6000</v>
      </c>
      <c r="L116" s="10">
        <f t="shared" si="89"/>
        <v>6000</v>
      </c>
      <c r="M116" s="10">
        <f t="shared" si="89"/>
        <v>6000</v>
      </c>
      <c r="N116" s="10">
        <f t="shared" si="89"/>
        <v>6000</v>
      </c>
      <c r="O116" s="10">
        <f t="shared" si="89"/>
        <v>6000</v>
      </c>
      <c r="P116" s="10">
        <f t="shared" si="89"/>
        <v>6000</v>
      </c>
    </row>
    <row r="117" spans="1:16" s="2" customFormat="1" hidden="1" outlineLevel="1" x14ac:dyDescent="0.25">
      <c r="A117" s="2">
        <v>6430</v>
      </c>
      <c r="B117" s="18" t="s">
        <v>463</v>
      </c>
      <c r="C117" s="2" t="s">
        <v>636</v>
      </c>
      <c r="D117" s="85">
        <v>0</v>
      </c>
      <c r="E117" s="11">
        <f>IF(E$182=0,0,ROUND(($D117*12),0))</f>
        <v>0</v>
      </c>
      <c r="F117" s="11">
        <f t="shared" ref="F117:P117" si="90">IF(F$182=0,0,ROUND(($D117*12),0))</f>
        <v>0</v>
      </c>
      <c r="G117" s="11">
        <f t="shared" si="90"/>
        <v>0</v>
      </c>
      <c r="H117" s="11">
        <f t="shared" si="90"/>
        <v>0</v>
      </c>
      <c r="I117" s="11">
        <f t="shared" si="90"/>
        <v>0</v>
      </c>
      <c r="J117" s="11">
        <f t="shared" si="90"/>
        <v>0</v>
      </c>
      <c r="K117" s="11">
        <f t="shared" si="90"/>
        <v>0</v>
      </c>
      <c r="L117" s="11">
        <f t="shared" si="90"/>
        <v>0</v>
      </c>
      <c r="M117" s="11">
        <f t="shared" si="90"/>
        <v>0</v>
      </c>
      <c r="N117" s="11">
        <f t="shared" si="90"/>
        <v>0</v>
      </c>
      <c r="O117" s="11">
        <f t="shared" si="90"/>
        <v>0</v>
      </c>
      <c r="P117" s="11">
        <f t="shared" si="90"/>
        <v>0</v>
      </c>
    </row>
    <row r="118" spans="1:16" s="2" customFormat="1" collapsed="1" x14ac:dyDescent="0.25">
      <c r="A118" s="2">
        <v>400</v>
      </c>
      <c r="B118" s="18" t="s">
        <v>445</v>
      </c>
      <c r="E118" s="10">
        <f>SUM(E115:E117)</f>
        <v>6000</v>
      </c>
      <c r="F118" s="10">
        <f t="shared" ref="F118:P118" si="91">SUM(F115:F117)</f>
        <v>6000</v>
      </c>
      <c r="G118" s="10">
        <f t="shared" si="91"/>
        <v>6000</v>
      </c>
      <c r="H118" s="10">
        <f t="shared" si="91"/>
        <v>6000</v>
      </c>
      <c r="I118" s="10">
        <f t="shared" si="91"/>
        <v>6000</v>
      </c>
      <c r="J118" s="10">
        <f t="shared" si="91"/>
        <v>6000</v>
      </c>
      <c r="K118" s="10">
        <f t="shared" si="91"/>
        <v>6000</v>
      </c>
      <c r="L118" s="10">
        <f t="shared" si="91"/>
        <v>6000</v>
      </c>
      <c r="M118" s="10">
        <f t="shared" si="91"/>
        <v>6000</v>
      </c>
      <c r="N118" s="10">
        <f t="shared" si="91"/>
        <v>6000</v>
      </c>
      <c r="O118" s="10">
        <f t="shared" si="91"/>
        <v>6000</v>
      </c>
      <c r="P118" s="10">
        <f t="shared" si="91"/>
        <v>6000</v>
      </c>
    </row>
    <row r="119" spans="1:16" s="2" customFormat="1" x14ac:dyDescent="0.25">
      <c r="A119" s="2">
        <v>440</v>
      </c>
      <c r="B119" s="18" t="s">
        <v>464</v>
      </c>
      <c r="C119" s="2" t="s">
        <v>590</v>
      </c>
      <c r="D119" s="164"/>
      <c r="E119" s="10">
        <f>IF(E$182=0,0,E224)</f>
        <v>63300</v>
      </c>
      <c r="F119" s="10">
        <f t="shared" ref="F119:P119" si="92">IF(F$182=0,0,F224)</f>
        <v>64000</v>
      </c>
      <c r="G119" s="10">
        <f t="shared" si="92"/>
        <v>64675</v>
      </c>
      <c r="H119" s="10">
        <f t="shared" si="92"/>
        <v>65398</v>
      </c>
      <c r="I119" s="10">
        <f t="shared" si="92"/>
        <v>66148</v>
      </c>
      <c r="J119" s="10">
        <f t="shared" si="92"/>
        <v>66920</v>
      </c>
      <c r="K119" s="10">
        <f t="shared" si="92"/>
        <v>67714</v>
      </c>
      <c r="L119" s="10">
        <f t="shared" si="92"/>
        <v>68532</v>
      </c>
      <c r="M119" s="10">
        <f t="shared" si="92"/>
        <v>69374</v>
      </c>
      <c r="N119" s="10">
        <f t="shared" si="92"/>
        <v>70241</v>
      </c>
      <c r="O119" s="10">
        <f t="shared" si="92"/>
        <v>71134</v>
      </c>
      <c r="P119" s="10">
        <f t="shared" si="92"/>
        <v>71134</v>
      </c>
    </row>
    <row r="120" spans="1:16" s="2" customFormat="1" x14ac:dyDescent="0.25">
      <c r="A120" s="2">
        <v>440</v>
      </c>
      <c r="B120" s="18" t="s">
        <v>585</v>
      </c>
      <c r="C120" s="297" t="s">
        <v>589</v>
      </c>
      <c r="D120" s="85">
        <v>0</v>
      </c>
      <c r="E120" s="107">
        <f>IF(E$182=0,0,$D120)</f>
        <v>0</v>
      </c>
      <c r="F120" s="107">
        <f t="shared" ref="F120:P120" si="93">IF(F$182=0,0,$D120)</f>
        <v>0</v>
      </c>
      <c r="G120" s="107">
        <f t="shared" si="93"/>
        <v>0</v>
      </c>
      <c r="H120" s="107">
        <f t="shared" si="93"/>
        <v>0</v>
      </c>
      <c r="I120" s="107">
        <f t="shared" si="93"/>
        <v>0</v>
      </c>
      <c r="J120" s="107">
        <f t="shared" si="93"/>
        <v>0</v>
      </c>
      <c r="K120" s="107">
        <f t="shared" si="93"/>
        <v>0</v>
      </c>
      <c r="L120" s="107">
        <f t="shared" si="93"/>
        <v>0</v>
      </c>
      <c r="M120" s="107">
        <f t="shared" si="93"/>
        <v>0</v>
      </c>
      <c r="N120" s="107">
        <f t="shared" si="93"/>
        <v>0</v>
      </c>
      <c r="O120" s="107">
        <f t="shared" si="93"/>
        <v>0</v>
      </c>
      <c r="P120" s="107">
        <f t="shared" si="93"/>
        <v>0</v>
      </c>
    </row>
    <row r="121" spans="1:16" s="2" customFormat="1" hidden="1" outlineLevel="1" x14ac:dyDescent="0.25">
      <c r="A121" s="2">
        <v>6519</v>
      </c>
      <c r="B121" s="18" t="s">
        <v>448</v>
      </c>
      <c r="C121" s="133" t="s">
        <v>735</v>
      </c>
      <c r="D121" s="85">
        <v>0</v>
      </c>
      <c r="E121" s="10">
        <f>IF(E$182=0,0,$D121*12)</f>
        <v>0</v>
      </c>
      <c r="F121" s="10">
        <f t="shared" ref="F121:P121" si="94">IF(F$182=0,0,$D121*12)</f>
        <v>0</v>
      </c>
      <c r="G121" s="10">
        <f t="shared" si="94"/>
        <v>0</v>
      </c>
      <c r="H121" s="10">
        <f t="shared" si="94"/>
        <v>0</v>
      </c>
      <c r="I121" s="10">
        <f t="shared" si="94"/>
        <v>0</v>
      </c>
      <c r="J121" s="10">
        <f t="shared" si="94"/>
        <v>0</v>
      </c>
      <c r="K121" s="10">
        <f t="shared" si="94"/>
        <v>0</v>
      </c>
      <c r="L121" s="10">
        <f t="shared" si="94"/>
        <v>0</v>
      </c>
      <c r="M121" s="10">
        <f t="shared" si="94"/>
        <v>0</v>
      </c>
      <c r="N121" s="10">
        <f t="shared" si="94"/>
        <v>0</v>
      </c>
      <c r="O121" s="10">
        <f t="shared" si="94"/>
        <v>0</v>
      </c>
      <c r="P121" s="10">
        <f t="shared" si="94"/>
        <v>0</v>
      </c>
    </row>
    <row r="122" spans="1:16" s="2" customFormat="1" hidden="1" outlineLevel="1" x14ac:dyDescent="0.25">
      <c r="A122" s="2">
        <v>6530</v>
      </c>
      <c r="B122" s="18" t="s">
        <v>453</v>
      </c>
      <c r="C122" s="301" t="s">
        <v>605</v>
      </c>
      <c r="D122" s="85">
        <v>50</v>
      </c>
      <c r="E122" s="107">
        <f>IF(E$182=0,0,($D122*(1+E$11)*12))</f>
        <v>600</v>
      </c>
      <c r="F122" s="107">
        <f t="shared" ref="F122:P122" si="95">IF(F$182=0,0,($D122*(1+F$11)*12))</f>
        <v>612</v>
      </c>
      <c r="G122" s="107">
        <f t="shared" si="95"/>
        <v>624</v>
      </c>
      <c r="H122" s="107">
        <f t="shared" si="95"/>
        <v>636</v>
      </c>
      <c r="I122" s="107">
        <f t="shared" si="95"/>
        <v>648</v>
      </c>
      <c r="J122" s="107">
        <f t="shared" si="95"/>
        <v>660.00000000000011</v>
      </c>
      <c r="K122" s="107">
        <f t="shared" si="95"/>
        <v>672.00000000000011</v>
      </c>
      <c r="L122" s="107">
        <f t="shared" si="95"/>
        <v>684.00000000000011</v>
      </c>
      <c r="M122" s="107">
        <f t="shared" si="95"/>
        <v>695.99999999999989</v>
      </c>
      <c r="N122" s="107">
        <f t="shared" si="95"/>
        <v>708</v>
      </c>
      <c r="O122" s="107">
        <f t="shared" si="95"/>
        <v>720</v>
      </c>
      <c r="P122" s="107">
        <f t="shared" si="95"/>
        <v>732</v>
      </c>
    </row>
    <row r="123" spans="1:16" s="2" customFormat="1" hidden="1" outlineLevel="1" x14ac:dyDescent="0.25">
      <c r="A123" s="2">
        <v>6534</v>
      </c>
      <c r="B123" s="18" t="s">
        <v>454</v>
      </c>
      <c r="C123" s="301" t="s">
        <v>605</v>
      </c>
      <c r="D123" s="164">
        <v>0</v>
      </c>
      <c r="E123" s="107">
        <f>IF(E$182=0,0,($D123*12))</f>
        <v>0</v>
      </c>
      <c r="F123" s="107">
        <f t="shared" ref="F123:P123" si="96">IF(F$182=0,0,($D123*12))</f>
        <v>0</v>
      </c>
      <c r="G123" s="107">
        <f t="shared" si="96"/>
        <v>0</v>
      </c>
      <c r="H123" s="107">
        <f t="shared" si="96"/>
        <v>0</v>
      </c>
      <c r="I123" s="107">
        <f t="shared" si="96"/>
        <v>0</v>
      </c>
      <c r="J123" s="107">
        <f t="shared" si="96"/>
        <v>0</v>
      </c>
      <c r="K123" s="107">
        <f t="shared" si="96"/>
        <v>0</v>
      </c>
      <c r="L123" s="107">
        <f t="shared" si="96"/>
        <v>0</v>
      </c>
      <c r="M123" s="107">
        <f t="shared" si="96"/>
        <v>0</v>
      </c>
      <c r="N123" s="107">
        <f t="shared" si="96"/>
        <v>0</v>
      </c>
      <c r="O123" s="107">
        <f t="shared" si="96"/>
        <v>0</v>
      </c>
      <c r="P123" s="107">
        <f t="shared" si="96"/>
        <v>0</v>
      </c>
    </row>
    <row r="124" spans="1:16" s="2" customFormat="1" hidden="1" outlineLevel="1" x14ac:dyDescent="0.25">
      <c r="A124" s="2">
        <v>6535</v>
      </c>
      <c r="B124" s="18" t="s">
        <v>455</v>
      </c>
      <c r="C124" s="2" t="s">
        <v>623</v>
      </c>
      <c r="D124" s="85">
        <v>144</v>
      </c>
      <c r="E124" s="107">
        <f t="shared" ref="E124:P125" si="97">IF(E$182=0,0,($D124*(1+E$11)*12))</f>
        <v>1728</v>
      </c>
      <c r="F124" s="107">
        <f t="shared" si="97"/>
        <v>1762.56</v>
      </c>
      <c r="G124" s="107">
        <f t="shared" si="97"/>
        <v>1797.12</v>
      </c>
      <c r="H124" s="107">
        <f t="shared" si="97"/>
        <v>1831.6800000000003</v>
      </c>
      <c r="I124" s="107">
        <f t="shared" si="97"/>
        <v>1866.2400000000002</v>
      </c>
      <c r="J124" s="107">
        <f t="shared" si="97"/>
        <v>1900.8000000000002</v>
      </c>
      <c r="K124" s="107">
        <f t="shared" si="97"/>
        <v>1935.3600000000004</v>
      </c>
      <c r="L124" s="107">
        <f t="shared" si="97"/>
        <v>1969.9200000000003</v>
      </c>
      <c r="M124" s="107">
        <f t="shared" si="97"/>
        <v>2004.48</v>
      </c>
      <c r="N124" s="107">
        <f t="shared" si="97"/>
        <v>2039.04</v>
      </c>
      <c r="O124" s="107">
        <f t="shared" si="97"/>
        <v>2073.6</v>
      </c>
      <c r="P124" s="107">
        <f t="shared" si="97"/>
        <v>2108.16</v>
      </c>
    </row>
    <row r="125" spans="1:16" s="2" customFormat="1" hidden="1" outlineLevel="1" x14ac:dyDescent="0.25">
      <c r="A125" s="2">
        <v>6535</v>
      </c>
      <c r="B125" s="74" t="s">
        <v>456</v>
      </c>
      <c r="C125" s="301" t="s">
        <v>605</v>
      </c>
      <c r="D125" s="85">
        <v>0</v>
      </c>
      <c r="E125" s="32">
        <f t="shared" si="97"/>
        <v>0</v>
      </c>
      <c r="F125" s="32">
        <f t="shared" si="97"/>
        <v>0</v>
      </c>
      <c r="G125" s="32">
        <f t="shared" si="97"/>
        <v>0</v>
      </c>
      <c r="H125" s="32">
        <f t="shared" si="97"/>
        <v>0</v>
      </c>
      <c r="I125" s="32">
        <f t="shared" si="97"/>
        <v>0</v>
      </c>
      <c r="J125" s="32">
        <f t="shared" si="97"/>
        <v>0</v>
      </c>
      <c r="K125" s="32">
        <f t="shared" si="97"/>
        <v>0</v>
      </c>
      <c r="L125" s="32">
        <f t="shared" si="97"/>
        <v>0</v>
      </c>
      <c r="M125" s="32">
        <f t="shared" si="97"/>
        <v>0</v>
      </c>
      <c r="N125" s="32">
        <f t="shared" si="97"/>
        <v>0</v>
      </c>
      <c r="O125" s="32">
        <f t="shared" si="97"/>
        <v>0</v>
      </c>
      <c r="P125" s="32">
        <f t="shared" si="97"/>
        <v>0</v>
      </c>
    </row>
    <row r="126" spans="1:16" s="2" customFormat="1" collapsed="1" x14ac:dyDescent="0.25">
      <c r="A126" s="2">
        <v>500</v>
      </c>
      <c r="B126" s="18" t="s">
        <v>635</v>
      </c>
      <c r="C126" s="301"/>
      <c r="D126" s="85"/>
      <c r="E126" s="10">
        <f>SUM(E121:E125)</f>
        <v>2328</v>
      </c>
      <c r="F126" s="10">
        <f t="shared" ref="F126:P126" si="98">SUM(F121:F125)</f>
        <v>2374.56</v>
      </c>
      <c r="G126" s="10">
        <f t="shared" si="98"/>
        <v>2421.12</v>
      </c>
      <c r="H126" s="10">
        <f t="shared" si="98"/>
        <v>2467.6800000000003</v>
      </c>
      <c r="I126" s="10">
        <f t="shared" si="98"/>
        <v>2514.2400000000002</v>
      </c>
      <c r="J126" s="10">
        <f t="shared" si="98"/>
        <v>2560.8000000000002</v>
      </c>
      <c r="K126" s="10">
        <f t="shared" si="98"/>
        <v>2607.3600000000006</v>
      </c>
      <c r="L126" s="10">
        <f t="shared" si="98"/>
        <v>2653.9200000000005</v>
      </c>
      <c r="M126" s="10">
        <f t="shared" si="98"/>
        <v>2700.48</v>
      </c>
      <c r="N126" s="10">
        <f t="shared" si="98"/>
        <v>2747.04</v>
      </c>
      <c r="O126" s="10">
        <f t="shared" si="98"/>
        <v>2793.6</v>
      </c>
      <c r="P126" s="10">
        <f t="shared" si="98"/>
        <v>2840.16</v>
      </c>
    </row>
    <row r="127" spans="1:16" s="2" customFormat="1" hidden="1" outlineLevel="1" x14ac:dyDescent="0.25">
      <c r="A127" s="2">
        <v>6521</v>
      </c>
      <c r="B127" s="18" t="s">
        <v>449</v>
      </c>
      <c r="C127" s="297" t="s">
        <v>588</v>
      </c>
      <c r="D127" s="196">
        <v>0</v>
      </c>
      <c r="E127" s="10">
        <f t="shared" ref="E127:E132" si="99">ROUND(($D127*(1+E$11)*E$182),0)</f>
        <v>0</v>
      </c>
      <c r="F127" s="10">
        <f t="shared" ref="F127:P127" si="100">ROUND(($D127*(1+F$11)*F$182),0)</f>
        <v>0</v>
      </c>
      <c r="G127" s="10">
        <f t="shared" si="100"/>
        <v>0</v>
      </c>
      <c r="H127" s="10">
        <f t="shared" si="100"/>
        <v>0</v>
      </c>
      <c r="I127" s="10">
        <f t="shared" si="100"/>
        <v>0</v>
      </c>
      <c r="J127" s="10">
        <f t="shared" si="100"/>
        <v>0</v>
      </c>
      <c r="K127" s="10">
        <f t="shared" si="100"/>
        <v>0</v>
      </c>
      <c r="L127" s="10">
        <f t="shared" si="100"/>
        <v>0</v>
      </c>
      <c r="M127" s="10">
        <f t="shared" si="100"/>
        <v>0</v>
      </c>
      <c r="N127" s="10">
        <f t="shared" si="100"/>
        <v>0</v>
      </c>
      <c r="O127" s="10">
        <f t="shared" si="100"/>
        <v>0</v>
      </c>
      <c r="P127" s="10">
        <f t="shared" si="100"/>
        <v>0</v>
      </c>
    </row>
    <row r="128" spans="1:16" s="2" customFormat="1" hidden="1" outlineLevel="1" x14ac:dyDescent="0.25">
      <c r="A128" s="2">
        <v>6522</v>
      </c>
      <c r="B128" s="18" t="s">
        <v>457</v>
      </c>
      <c r="C128" s="297" t="s">
        <v>588</v>
      </c>
      <c r="D128" s="196">
        <v>0</v>
      </c>
      <c r="E128" s="10">
        <f t="shared" si="99"/>
        <v>0</v>
      </c>
      <c r="F128" s="10">
        <f t="shared" ref="F128:P132" si="101">ROUND(($D128*(1+F$11)*F$182),0)</f>
        <v>0</v>
      </c>
      <c r="G128" s="10">
        <f t="shared" si="101"/>
        <v>0</v>
      </c>
      <c r="H128" s="10">
        <f t="shared" si="101"/>
        <v>0</v>
      </c>
      <c r="I128" s="10">
        <f t="shared" si="101"/>
        <v>0</v>
      </c>
      <c r="J128" s="10">
        <f t="shared" si="101"/>
        <v>0</v>
      </c>
      <c r="K128" s="10">
        <f t="shared" si="101"/>
        <v>0</v>
      </c>
      <c r="L128" s="10">
        <f t="shared" si="101"/>
        <v>0</v>
      </c>
      <c r="M128" s="10">
        <f t="shared" si="101"/>
        <v>0</v>
      </c>
      <c r="N128" s="10">
        <f t="shared" si="101"/>
        <v>0</v>
      </c>
      <c r="O128" s="10">
        <f t="shared" si="101"/>
        <v>0</v>
      </c>
      <c r="P128" s="10">
        <f t="shared" si="101"/>
        <v>0</v>
      </c>
    </row>
    <row r="129" spans="1:16" s="2" customFormat="1" hidden="1" outlineLevel="1" x14ac:dyDescent="0.25">
      <c r="A129" s="2">
        <v>6522</v>
      </c>
      <c r="B129" s="18" t="s">
        <v>458</v>
      </c>
      <c r="C129" s="297" t="s">
        <v>588</v>
      </c>
      <c r="D129" s="196">
        <v>0</v>
      </c>
      <c r="E129" s="10">
        <f t="shared" si="99"/>
        <v>0</v>
      </c>
      <c r="F129" s="10">
        <f t="shared" si="101"/>
        <v>0</v>
      </c>
      <c r="G129" s="10">
        <f t="shared" si="101"/>
        <v>0</v>
      </c>
      <c r="H129" s="10">
        <f t="shared" si="101"/>
        <v>0</v>
      </c>
      <c r="I129" s="10">
        <f t="shared" si="101"/>
        <v>0</v>
      </c>
      <c r="J129" s="10">
        <f t="shared" si="101"/>
        <v>0</v>
      </c>
      <c r="K129" s="10">
        <f t="shared" si="101"/>
        <v>0</v>
      </c>
      <c r="L129" s="10">
        <f t="shared" si="101"/>
        <v>0</v>
      </c>
      <c r="M129" s="10">
        <f t="shared" si="101"/>
        <v>0</v>
      </c>
      <c r="N129" s="10">
        <f t="shared" si="101"/>
        <v>0</v>
      </c>
      <c r="O129" s="10">
        <f t="shared" si="101"/>
        <v>0</v>
      </c>
      <c r="P129" s="10">
        <f t="shared" si="101"/>
        <v>0</v>
      </c>
    </row>
    <row r="130" spans="1:16" s="2" customFormat="1" hidden="1" outlineLevel="1" x14ac:dyDescent="0.25">
      <c r="A130" s="2">
        <v>6523</v>
      </c>
      <c r="B130" s="18" t="s">
        <v>450</v>
      </c>
      <c r="C130" s="297" t="s">
        <v>588</v>
      </c>
      <c r="D130" s="85">
        <v>0</v>
      </c>
      <c r="E130" s="10">
        <f t="shared" si="99"/>
        <v>0</v>
      </c>
      <c r="F130" s="10">
        <f t="shared" si="101"/>
        <v>0</v>
      </c>
      <c r="G130" s="10">
        <f t="shared" si="101"/>
        <v>0</v>
      </c>
      <c r="H130" s="10">
        <f t="shared" si="101"/>
        <v>0</v>
      </c>
      <c r="I130" s="10">
        <f t="shared" si="101"/>
        <v>0</v>
      </c>
      <c r="J130" s="10">
        <f t="shared" si="101"/>
        <v>0</v>
      </c>
      <c r="K130" s="10">
        <f t="shared" si="101"/>
        <v>0</v>
      </c>
      <c r="L130" s="10">
        <f t="shared" si="101"/>
        <v>0</v>
      </c>
      <c r="M130" s="10">
        <f t="shared" si="101"/>
        <v>0</v>
      </c>
      <c r="N130" s="10">
        <f t="shared" si="101"/>
        <v>0</v>
      </c>
      <c r="O130" s="10">
        <f t="shared" si="101"/>
        <v>0</v>
      </c>
      <c r="P130" s="10">
        <f t="shared" si="101"/>
        <v>0</v>
      </c>
    </row>
    <row r="131" spans="1:16" s="2" customFormat="1" hidden="1" outlineLevel="1" x14ac:dyDescent="0.25">
      <c r="A131" s="2">
        <v>6523</v>
      </c>
      <c r="B131" s="18" t="s">
        <v>451</v>
      </c>
      <c r="C131" s="297" t="s">
        <v>588</v>
      </c>
      <c r="D131" s="196">
        <v>0</v>
      </c>
      <c r="E131" s="10">
        <f t="shared" si="99"/>
        <v>0</v>
      </c>
      <c r="F131" s="10">
        <f t="shared" si="101"/>
        <v>0</v>
      </c>
      <c r="G131" s="10">
        <f t="shared" si="101"/>
        <v>0</v>
      </c>
      <c r="H131" s="10">
        <f t="shared" si="101"/>
        <v>0</v>
      </c>
      <c r="I131" s="10">
        <f t="shared" si="101"/>
        <v>0</v>
      </c>
      <c r="J131" s="10">
        <f t="shared" si="101"/>
        <v>0</v>
      </c>
      <c r="K131" s="10">
        <f t="shared" si="101"/>
        <v>0</v>
      </c>
      <c r="L131" s="10">
        <f t="shared" si="101"/>
        <v>0</v>
      </c>
      <c r="M131" s="10">
        <f t="shared" si="101"/>
        <v>0</v>
      </c>
      <c r="N131" s="10">
        <f t="shared" si="101"/>
        <v>0</v>
      </c>
      <c r="O131" s="10">
        <f t="shared" si="101"/>
        <v>0</v>
      </c>
      <c r="P131" s="10">
        <f t="shared" si="101"/>
        <v>0</v>
      </c>
    </row>
    <row r="132" spans="1:16" s="2" customFormat="1" hidden="1" outlineLevel="1" x14ac:dyDescent="0.25">
      <c r="A132" s="2">
        <v>6523</v>
      </c>
      <c r="B132" s="18" t="s">
        <v>452</v>
      </c>
      <c r="C132" s="297" t="s">
        <v>588</v>
      </c>
      <c r="D132" s="85">
        <v>0</v>
      </c>
      <c r="E132" s="11">
        <f t="shared" si="99"/>
        <v>0</v>
      </c>
      <c r="F132" s="11">
        <f t="shared" si="101"/>
        <v>0</v>
      </c>
      <c r="G132" s="11">
        <f t="shared" si="101"/>
        <v>0</v>
      </c>
      <c r="H132" s="11">
        <f t="shared" si="101"/>
        <v>0</v>
      </c>
      <c r="I132" s="11">
        <f t="shared" si="101"/>
        <v>0</v>
      </c>
      <c r="J132" s="11">
        <f t="shared" si="101"/>
        <v>0</v>
      </c>
      <c r="K132" s="11">
        <f t="shared" si="101"/>
        <v>0</v>
      </c>
      <c r="L132" s="11">
        <f t="shared" si="101"/>
        <v>0</v>
      </c>
      <c r="M132" s="11">
        <f t="shared" si="101"/>
        <v>0</v>
      </c>
      <c r="N132" s="11">
        <f t="shared" si="101"/>
        <v>0</v>
      </c>
      <c r="O132" s="11">
        <f t="shared" si="101"/>
        <v>0</v>
      </c>
      <c r="P132" s="11">
        <f t="shared" si="101"/>
        <v>0</v>
      </c>
    </row>
    <row r="133" spans="1:16" s="2" customFormat="1" collapsed="1" x14ac:dyDescent="0.25">
      <c r="A133" s="2">
        <v>520</v>
      </c>
      <c r="B133" s="18" t="s">
        <v>447</v>
      </c>
      <c r="D133" s="164"/>
      <c r="E133" s="10">
        <f>SUM(E127:E132)</f>
        <v>0</v>
      </c>
      <c r="F133" s="10">
        <f t="shared" ref="F133:P133" si="102">SUM(F127:F132)</f>
        <v>0</v>
      </c>
      <c r="G133" s="10">
        <f t="shared" si="102"/>
        <v>0</v>
      </c>
      <c r="H133" s="10">
        <f t="shared" si="102"/>
        <v>0</v>
      </c>
      <c r="I133" s="10">
        <f t="shared" si="102"/>
        <v>0</v>
      </c>
      <c r="J133" s="10">
        <f t="shared" si="102"/>
        <v>0</v>
      </c>
      <c r="K133" s="10">
        <f t="shared" si="102"/>
        <v>0</v>
      </c>
      <c r="L133" s="10">
        <f t="shared" si="102"/>
        <v>0</v>
      </c>
      <c r="M133" s="10">
        <f t="shared" si="102"/>
        <v>0</v>
      </c>
      <c r="N133" s="10">
        <f t="shared" si="102"/>
        <v>0</v>
      </c>
      <c r="O133" s="10">
        <f t="shared" si="102"/>
        <v>0</v>
      </c>
      <c r="P133" s="10">
        <f t="shared" si="102"/>
        <v>0</v>
      </c>
    </row>
    <row r="134" spans="1:16" s="2" customFormat="1" x14ac:dyDescent="0.25">
      <c r="A134" s="2">
        <v>540</v>
      </c>
      <c r="B134" s="18" t="s">
        <v>79</v>
      </c>
      <c r="C134" s="297" t="s">
        <v>736</v>
      </c>
      <c r="D134" s="164">
        <v>0</v>
      </c>
      <c r="E134" s="107">
        <f>IF(E$182=0,0,$D134)</f>
        <v>0</v>
      </c>
      <c r="F134" s="107">
        <f t="shared" ref="F134:P134" si="103">IF(F$182=0,0,$D134)</f>
        <v>0</v>
      </c>
      <c r="G134" s="107">
        <f t="shared" si="103"/>
        <v>0</v>
      </c>
      <c r="H134" s="107">
        <f t="shared" si="103"/>
        <v>0</v>
      </c>
      <c r="I134" s="107">
        <f t="shared" si="103"/>
        <v>0</v>
      </c>
      <c r="J134" s="107">
        <f t="shared" si="103"/>
        <v>0</v>
      </c>
      <c r="K134" s="107">
        <f t="shared" si="103"/>
        <v>0</v>
      </c>
      <c r="L134" s="107">
        <f t="shared" si="103"/>
        <v>0</v>
      </c>
      <c r="M134" s="107">
        <f t="shared" si="103"/>
        <v>0</v>
      </c>
      <c r="N134" s="107">
        <f t="shared" si="103"/>
        <v>0</v>
      </c>
      <c r="O134" s="107">
        <f t="shared" si="103"/>
        <v>0</v>
      </c>
      <c r="P134" s="107">
        <f t="shared" si="103"/>
        <v>0</v>
      </c>
    </row>
    <row r="135" spans="1:16" s="2" customFormat="1" hidden="1" outlineLevel="1" x14ac:dyDescent="0.25">
      <c r="A135" s="2">
        <v>6569</v>
      </c>
      <c r="B135" s="18" t="s">
        <v>560</v>
      </c>
      <c r="C135" s="18" t="s">
        <v>586</v>
      </c>
      <c r="D135" s="85">
        <v>50</v>
      </c>
      <c r="E135" s="154">
        <f t="shared" ref="E135:P137" si="104">IF(E$182=0,0,ROUND(($D135*(1+E$11))*E$182,0))</f>
        <v>10000</v>
      </c>
      <c r="F135" s="154">
        <f t="shared" si="104"/>
        <v>10404</v>
      </c>
      <c r="G135" s="154">
        <f t="shared" si="104"/>
        <v>10816</v>
      </c>
      <c r="H135" s="154">
        <f t="shared" si="104"/>
        <v>11236</v>
      </c>
      <c r="I135" s="154">
        <f t="shared" si="104"/>
        <v>11664</v>
      </c>
      <c r="J135" s="154">
        <f t="shared" si="104"/>
        <v>12100</v>
      </c>
      <c r="K135" s="154">
        <f t="shared" si="104"/>
        <v>12544</v>
      </c>
      <c r="L135" s="154">
        <f t="shared" si="104"/>
        <v>12996</v>
      </c>
      <c r="M135" s="154">
        <f t="shared" si="104"/>
        <v>13514</v>
      </c>
      <c r="N135" s="154">
        <f t="shared" si="104"/>
        <v>14042</v>
      </c>
      <c r="O135" s="154">
        <f t="shared" si="104"/>
        <v>14580</v>
      </c>
      <c r="P135" s="154">
        <f t="shared" si="104"/>
        <v>15128</v>
      </c>
    </row>
    <row r="136" spans="1:16" s="2" customFormat="1" hidden="1" outlineLevel="1" x14ac:dyDescent="0.25">
      <c r="A136" s="2">
        <v>6569</v>
      </c>
      <c r="B136" s="18" t="s">
        <v>689</v>
      </c>
      <c r="C136" s="18" t="s">
        <v>746</v>
      </c>
      <c r="D136" s="85">
        <v>875</v>
      </c>
      <c r="E136" s="154">
        <f>IF(E$182=0,0,ROUND(($D136*(1+E$11))*E$182,0))</f>
        <v>175000</v>
      </c>
      <c r="F136" s="154">
        <f t="shared" si="104"/>
        <v>182070</v>
      </c>
      <c r="G136" s="154">
        <f t="shared" si="104"/>
        <v>189280</v>
      </c>
      <c r="H136" s="154">
        <f t="shared" si="104"/>
        <v>196630</v>
      </c>
      <c r="I136" s="154">
        <f t="shared" si="104"/>
        <v>204120</v>
      </c>
      <c r="J136" s="154">
        <f t="shared" si="104"/>
        <v>211750</v>
      </c>
      <c r="K136" s="154">
        <f t="shared" si="104"/>
        <v>219520</v>
      </c>
      <c r="L136" s="154">
        <f t="shared" si="104"/>
        <v>227430</v>
      </c>
      <c r="M136" s="154">
        <f t="shared" si="104"/>
        <v>236495</v>
      </c>
      <c r="N136" s="154">
        <f t="shared" si="104"/>
        <v>245735</v>
      </c>
      <c r="O136" s="154">
        <f t="shared" si="104"/>
        <v>255150</v>
      </c>
      <c r="P136" s="154">
        <f t="shared" si="104"/>
        <v>264740</v>
      </c>
    </row>
    <row r="137" spans="1:16" s="2" customFormat="1" hidden="1" outlineLevel="1" x14ac:dyDescent="0.25">
      <c r="A137" s="2">
        <v>6569</v>
      </c>
      <c r="B137" s="18" t="s">
        <v>689</v>
      </c>
      <c r="C137" s="18" t="s">
        <v>747</v>
      </c>
      <c r="D137" s="85">
        <v>1175</v>
      </c>
      <c r="E137" s="11">
        <f>IF(E$182=0,0,ROUND(($D137*(1+E$11))*E$182,0))</f>
        <v>235000</v>
      </c>
      <c r="F137" s="11">
        <f t="shared" si="104"/>
        <v>244494</v>
      </c>
      <c r="G137" s="11">
        <f t="shared" si="104"/>
        <v>254176</v>
      </c>
      <c r="H137" s="11">
        <f t="shared" si="104"/>
        <v>264046</v>
      </c>
      <c r="I137" s="11">
        <f t="shared" si="104"/>
        <v>274104</v>
      </c>
      <c r="J137" s="11">
        <f t="shared" si="104"/>
        <v>284350</v>
      </c>
      <c r="K137" s="11">
        <f t="shared" si="104"/>
        <v>294784</v>
      </c>
      <c r="L137" s="11">
        <f t="shared" si="104"/>
        <v>305406</v>
      </c>
      <c r="M137" s="11">
        <f t="shared" si="104"/>
        <v>317579</v>
      </c>
      <c r="N137" s="11">
        <f t="shared" si="104"/>
        <v>329987</v>
      </c>
      <c r="O137" s="11">
        <f t="shared" si="104"/>
        <v>342630</v>
      </c>
      <c r="P137" s="11">
        <f t="shared" si="104"/>
        <v>355508</v>
      </c>
    </row>
    <row r="138" spans="1:16" s="2" customFormat="1" collapsed="1" x14ac:dyDescent="0.25">
      <c r="A138" s="2">
        <v>560</v>
      </c>
      <c r="B138" s="2" t="s">
        <v>566</v>
      </c>
      <c r="C138" s="18"/>
      <c r="D138" s="85"/>
      <c r="E138" s="10">
        <f>SUM(E135:E137)</f>
        <v>420000</v>
      </c>
      <c r="F138" s="10">
        <f t="shared" ref="F138:P138" si="105">SUM(F135:F137)</f>
        <v>436968</v>
      </c>
      <c r="G138" s="10">
        <f t="shared" si="105"/>
        <v>454272</v>
      </c>
      <c r="H138" s="10">
        <f t="shared" si="105"/>
        <v>471912</v>
      </c>
      <c r="I138" s="10">
        <f t="shared" si="105"/>
        <v>489888</v>
      </c>
      <c r="J138" s="10">
        <f t="shared" si="105"/>
        <v>508200</v>
      </c>
      <c r="K138" s="10">
        <f t="shared" si="105"/>
        <v>526848</v>
      </c>
      <c r="L138" s="10">
        <f t="shared" si="105"/>
        <v>545832</v>
      </c>
      <c r="M138" s="10">
        <f t="shared" si="105"/>
        <v>567588</v>
      </c>
      <c r="N138" s="10">
        <f t="shared" si="105"/>
        <v>589764</v>
      </c>
      <c r="O138" s="10">
        <f t="shared" si="105"/>
        <v>612360</v>
      </c>
      <c r="P138" s="10">
        <f t="shared" si="105"/>
        <v>635376</v>
      </c>
    </row>
    <row r="139" spans="1:16" s="2" customFormat="1" x14ac:dyDescent="0.25">
      <c r="A139" s="2">
        <v>580</v>
      </c>
      <c r="B139" s="18" t="s">
        <v>289</v>
      </c>
      <c r="C139" s="303" t="s">
        <v>627</v>
      </c>
      <c r="D139" s="85">
        <v>500</v>
      </c>
      <c r="E139" s="10">
        <f>IF(E$182=0,0,ROUND(($D139*(1+E$11))*(E$205-E$202),0))</f>
        <v>1500</v>
      </c>
      <c r="F139" s="10">
        <f t="shared" ref="F139:P139" si="106">IF(F$182=0,0,ROUND(($D139*(1+F$11))*(F$205-F$202),0))</f>
        <v>1530</v>
      </c>
      <c r="G139" s="10">
        <f t="shared" si="106"/>
        <v>1560</v>
      </c>
      <c r="H139" s="10">
        <f t="shared" si="106"/>
        <v>1590</v>
      </c>
      <c r="I139" s="10">
        <f t="shared" si="106"/>
        <v>1620</v>
      </c>
      <c r="J139" s="10">
        <f t="shared" si="106"/>
        <v>1650</v>
      </c>
      <c r="K139" s="10">
        <f t="shared" si="106"/>
        <v>1680</v>
      </c>
      <c r="L139" s="10">
        <f t="shared" si="106"/>
        <v>1710</v>
      </c>
      <c r="M139" s="10">
        <f t="shared" si="106"/>
        <v>1740</v>
      </c>
      <c r="N139" s="10">
        <f t="shared" si="106"/>
        <v>1770</v>
      </c>
      <c r="O139" s="10">
        <f t="shared" si="106"/>
        <v>1800</v>
      </c>
      <c r="P139" s="10">
        <f t="shared" si="106"/>
        <v>1830</v>
      </c>
    </row>
    <row r="140" spans="1:16" s="2" customFormat="1" x14ac:dyDescent="0.25">
      <c r="A140" s="2">
        <v>610</v>
      </c>
      <c r="B140" s="18" t="s">
        <v>465</v>
      </c>
      <c r="C140" s="303" t="s">
        <v>625</v>
      </c>
      <c r="D140" s="85">
        <v>75</v>
      </c>
      <c r="E140" s="10">
        <f>IF(E$182=0,0,ROUND(($D140*(1+E$11))*(E$205-E$202)*12,0))</f>
        <v>2700</v>
      </c>
      <c r="F140" s="10">
        <f t="shared" ref="F140:P140" si="107">IF(F$182=0,0,ROUND(($D140*(1+F$11))*(F$205-F$202)*12,0))</f>
        <v>2754</v>
      </c>
      <c r="G140" s="10">
        <f t="shared" si="107"/>
        <v>2808</v>
      </c>
      <c r="H140" s="10">
        <f t="shared" si="107"/>
        <v>2862</v>
      </c>
      <c r="I140" s="10">
        <f t="shared" si="107"/>
        <v>2916</v>
      </c>
      <c r="J140" s="10">
        <f t="shared" si="107"/>
        <v>2970</v>
      </c>
      <c r="K140" s="10">
        <f t="shared" si="107"/>
        <v>3024</v>
      </c>
      <c r="L140" s="10">
        <f t="shared" si="107"/>
        <v>3078</v>
      </c>
      <c r="M140" s="10">
        <f t="shared" si="107"/>
        <v>3132</v>
      </c>
      <c r="N140" s="10">
        <f t="shared" si="107"/>
        <v>3186</v>
      </c>
      <c r="O140" s="10">
        <f t="shared" si="107"/>
        <v>3240</v>
      </c>
      <c r="P140" s="10">
        <f t="shared" si="107"/>
        <v>3294</v>
      </c>
    </row>
    <row r="141" spans="1:16" s="2" customFormat="1" x14ac:dyDescent="0.25">
      <c r="A141" s="2">
        <v>622</v>
      </c>
      <c r="B141" s="18" t="s">
        <v>466</v>
      </c>
      <c r="C141" s="2" t="s">
        <v>587</v>
      </c>
      <c r="D141" s="85">
        <v>550</v>
      </c>
      <c r="E141" s="10">
        <f t="shared" ref="E141:P141" si="108">IF(E$182=0,0,ROUND($D141*12*(1+E$11),0))</f>
        <v>6600</v>
      </c>
      <c r="F141" s="10">
        <f t="shared" si="108"/>
        <v>6732</v>
      </c>
      <c r="G141" s="10">
        <f t="shared" si="108"/>
        <v>6864</v>
      </c>
      <c r="H141" s="10">
        <f t="shared" si="108"/>
        <v>6996</v>
      </c>
      <c r="I141" s="10">
        <f t="shared" si="108"/>
        <v>7128</v>
      </c>
      <c r="J141" s="10">
        <f t="shared" si="108"/>
        <v>7260</v>
      </c>
      <c r="K141" s="10">
        <f t="shared" si="108"/>
        <v>7392</v>
      </c>
      <c r="L141" s="10">
        <f t="shared" si="108"/>
        <v>7524</v>
      </c>
      <c r="M141" s="10">
        <f t="shared" si="108"/>
        <v>7656</v>
      </c>
      <c r="N141" s="10">
        <f t="shared" si="108"/>
        <v>7788</v>
      </c>
      <c r="O141" s="10">
        <f t="shared" si="108"/>
        <v>7920</v>
      </c>
      <c r="P141" s="10">
        <f t="shared" si="108"/>
        <v>8052</v>
      </c>
    </row>
    <row r="142" spans="1:16" s="2" customFormat="1" hidden="1" outlineLevel="1" x14ac:dyDescent="0.25">
      <c r="A142" s="2">
        <v>641</v>
      </c>
      <c r="B142" s="18" t="s">
        <v>53</v>
      </c>
      <c r="C142" s="18" t="s">
        <v>586</v>
      </c>
      <c r="D142" s="85">
        <v>50</v>
      </c>
      <c r="E142" s="154">
        <f t="shared" ref="E142:P144" si="109">IF(E$182=0,0,ROUND(($D142*(1+E$11))*E$182,0))</f>
        <v>10000</v>
      </c>
      <c r="F142" s="154">
        <f t="shared" si="109"/>
        <v>10404</v>
      </c>
      <c r="G142" s="154">
        <f t="shared" si="109"/>
        <v>10816</v>
      </c>
      <c r="H142" s="154">
        <f t="shared" si="109"/>
        <v>11236</v>
      </c>
      <c r="I142" s="154">
        <f t="shared" si="109"/>
        <v>11664</v>
      </c>
      <c r="J142" s="154">
        <f t="shared" si="109"/>
        <v>12100</v>
      </c>
      <c r="K142" s="154">
        <f t="shared" si="109"/>
        <v>12544</v>
      </c>
      <c r="L142" s="154">
        <f t="shared" si="109"/>
        <v>12996</v>
      </c>
      <c r="M142" s="154">
        <f t="shared" si="109"/>
        <v>13514</v>
      </c>
      <c r="N142" s="154">
        <f t="shared" si="109"/>
        <v>14042</v>
      </c>
      <c r="O142" s="154">
        <f t="shared" si="109"/>
        <v>14580</v>
      </c>
      <c r="P142" s="154">
        <f t="shared" si="109"/>
        <v>15128</v>
      </c>
    </row>
    <row r="143" spans="1:16" s="2" customFormat="1" hidden="1" outlineLevel="1" x14ac:dyDescent="0.25">
      <c r="A143" s="2">
        <v>6641</v>
      </c>
      <c r="B143" s="18" t="s">
        <v>693</v>
      </c>
      <c r="C143" s="18" t="s">
        <v>690</v>
      </c>
      <c r="D143" s="85">
        <v>30</v>
      </c>
      <c r="E143" s="154">
        <f t="shared" si="109"/>
        <v>6000</v>
      </c>
      <c r="F143" s="154">
        <f t="shared" si="109"/>
        <v>6242</v>
      </c>
      <c r="G143" s="154">
        <f t="shared" si="109"/>
        <v>6490</v>
      </c>
      <c r="H143" s="154">
        <f t="shared" si="109"/>
        <v>6742</v>
      </c>
      <c r="I143" s="154">
        <f t="shared" si="109"/>
        <v>6998</v>
      </c>
      <c r="J143" s="154">
        <f t="shared" si="109"/>
        <v>7260</v>
      </c>
      <c r="K143" s="154">
        <f t="shared" si="109"/>
        <v>7526</v>
      </c>
      <c r="L143" s="154">
        <f t="shared" si="109"/>
        <v>7798</v>
      </c>
      <c r="M143" s="154">
        <f t="shared" si="109"/>
        <v>8108</v>
      </c>
      <c r="N143" s="154">
        <f t="shared" si="109"/>
        <v>8425</v>
      </c>
      <c r="O143" s="154">
        <f t="shared" si="109"/>
        <v>8748</v>
      </c>
      <c r="P143" s="154">
        <f t="shared" si="109"/>
        <v>9077</v>
      </c>
    </row>
    <row r="144" spans="1:16" s="2" customFormat="1" hidden="1" outlineLevel="1" x14ac:dyDescent="0.25">
      <c r="A144" s="2">
        <v>6641</v>
      </c>
      <c r="B144" s="18" t="s">
        <v>693</v>
      </c>
      <c r="C144" s="18" t="s">
        <v>691</v>
      </c>
      <c r="D144" s="85">
        <v>40</v>
      </c>
      <c r="E144" s="11">
        <f t="shared" si="109"/>
        <v>8000</v>
      </c>
      <c r="F144" s="11">
        <f t="shared" si="109"/>
        <v>8323</v>
      </c>
      <c r="G144" s="11">
        <f t="shared" si="109"/>
        <v>8653</v>
      </c>
      <c r="H144" s="11">
        <f t="shared" si="109"/>
        <v>8989</v>
      </c>
      <c r="I144" s="11">
        <f t="shared" si="109"/>
        <v>9331</v>
      </c>
      <c r="J144" s="11">
        <f t="shared" si="109"/>
        <v>9680</v>
      </c>
      <c r="K144" s="11">
        <f t="shared" si="109"/>
        <v>10035</v>
      </c>
      <c r="L144" s="11">
        <f t="shared" si="109"/>
        <v>10397</v>
      </c>
      <c r="M144" s="11">
        <f t="shared" si="109"/>
        <v>10811</v>
      </c>
      <c r="N144" s="11">
        <f t="shared" si="109"/>
        <v>11234</v>
      </c>
      <c r="O144" s="11">
        <f t="shared" si="109"/>
        <v>11664</v>
      </c>
      <c r="P144" s="11">
        <f t="shared" si="109"/>
        <v>12102</v>
      </c>
    </row>
    <row r="145" spans="1:16" s="2" customFormat="1" collapsed="1" x14ac:dyDescent="0.25">
      <c r="A145" s="2">
        <v>641</v>
      </c>
      <c r="B145" s="18" t="s">
        <v>565</v>
      </c>
      <c r="D145" s="85"/>
      <c r="E145" s="10">
        <f>SUM(E142:E144)</f>
        <v>24000</v>
      </c>
      <c r="F145" s="10">
        <f t="shared" ref="F145:P145" si="110">SUM(F142:F144)</f>
        <v>24969</v>
      </c>
      <c r="G145" s="10">
        <f t="shared" si="110"/>
        <v>25959</v>
      </c>
      <c r="H145" s="10">
        <f t="shared" si="110"/>
        <v>26967</v>
      </c>
      <c r="I145" s="10">
        <f t="shared" si="110"/>
        <v>27993</v>
      </c>
      <c r="J145" s="10">
        <f t="shared" si="110"/>
        <v>29040</v>
      </c>
      <c r="K145" s="10">
        <f t="shared" si="110"/>
        <v>30105</v>
      </c>
      <c r="L145" s="10">
        <f t="shared" si="110"/>
        <v>31191</v>
      </c>
      <c r="M145" s="10">
        <f t="shared" si="110"/>
        <v>32433</v>
      </c>
      <c r="N145" s="10">
        <f t="shared" si="110"/>
        <v>33701</v>
      </c>
      <c r="O145" s="10">
        <f t="shared" si="110"/>
        <v>34992</v>
      </c>
      <c r="P145" s="10">
        <f t="shared" si="110"/>
        <v>36307</v>
      </c>
    </row>
    <row r="146" spans="1:16" s="2" customFormat="1" hidden="1" outlineLevel="1" x14ac:dyDescent="0.25">
      <c r="A146" s="2">
        <v>6642</v>
      </c>
      <c r="B146" s="18" t="s">
        <v>692</v>
      </c>
      <c r="C146" s="18" t="s">
        <v>690</v>
      </c>
      <c r="D146" s="85">
        <v>100</v>
      </c>
      <c r="E146" s="10">
        <f t="shared" ref="E146:P147" si="111">IF(E$182=0,0,ROUND(($D146*E$182)*(1+E$11),0))</f>
        <v>20000</v>
      </c>
      <c r="F146" s="10">
        <f t="shared" si="111"/>
        <v>20808</v>
      </c>
      <c r="G146" s="10">
        <f t="shared" si="111"/>
        <v>21632</v>
      </c>
      <c r="H146" s="10">
        <f t="shared" si="111"/>
        <v>22472</v>
      </c>
      <c r="I146" s="10">
        <f t="shared" si="111"/>
        <v>23328</v>
      </c>
      <c r="J146" s="10">
        <f t="shared" si="111"/>
        <v>24200</v>
      </c>
      <c r="K146" s="10">
        <f t="shared" si="111"/>
        <v>25088</v>
      </c>
      <c r="L146" s="10">
        <f t="shared" si="111"/>
        <v>25992</v>
      </c>
      <c r="M146" s="10">
        <f t="shared" si="111"/>
        <v>27028</v>
      </c>
      <c r="N146" s="10">
        <f t="shared" si="111"/>
        <v>28084</v>
      </c>
      <c r="O146" s="10">
        <f t="shared" si="111"/>
        <v>29160</v>
      </c>
      <c r="P146" s="10">
        <f t="shared" si="111"/>
        <v>30256</v>
      </c>
    </row>
    <row r="147" spans="1:16" s="2" customFormat="1" hidden="1" outlineLevel="1" x14ac:dyDescent="0.25">
      <c r="A147" s="2">
        <v>6642</v>
      </c>
      <c r="B147" s="18" t="s">
        <v>692</v>
      </c>
      <c r="C147" s="18" t="s">
        <v>691</v>
      </c>
      <c r="D147" s="85">
        <v>115</v>
      </c>
      <c r="E147" s="11">
        <f t="shared" si="111"/>
        <v>23000</v>
      </c>
      <c r="F147" s="11">
        <f t="shared" si="111"/>
        <v>23929</v>
      </c>
      <c r="G147" s="11">
        <f t="shared" si="111"/>
        <v>24877</v>
      </c>
      <c r="H147" s="11">
        <f t="shared" si="111"/>
        <v>25843</v>
      </c>
      <c r="I147" s="11">
        <f t="shared" si="111"/>
        <v>26827</v>
      </c>
      <c r="J147" s="11">
        <f t="shared" si="111"/>
        <v>27830</v>
      </c>
      <c r="K147" s="11">
        <f t="shared" si="111"/>
        <v>28851</v>
      </c>
      <c r="L147" s="11">
        <f t="shared" si="111"/>
        <v>29891</v>
      </c>
      <c r="M147" s="11">
        <f t="shared" si="111"/>
        <v>31082</v>
      </c>
      <c r="N147" s="11">
        <f t="shared" si="111"/>
        <v>32297</v>
      </c>
      <c r="O147" s="11">
        <f t="shared" si="111"/>
        <v>33534</v>
      </c>
      <c r="P147" s="11">
        <f t="shared" si="111"/>
        <v>34794</v>
      </c>
    </row>
    <row r="148" spans="1:16" s="2" customFormat="1" collapsed="1" x14ac:dyDescent="0.25">
      <c r="A148" s="2">
        <v>642</v>
      </c>
      <c r="B148" s="18" t="s">
        <v>468</v>
      </c>
      <c r="D148" s="85"/>
      <c r="E148" s="10">
        <f>SUM(E146:E147)</f>
        <v>43000</v>
      </c>
      <c r="F148" s="10">
        <f t="shared" ref="F148:P148" si="112">SUM(F146:F147)</f>
        <v>44737</v>
      </c>
      <c r="G148" s="10">
        <f t="shared" si="112"/>
        <v>46509</v>
      </c>
      <c r="H148" s="10">
        <f t="shared" si="112"/>
        <v>48315</v>
      </c>
      <c r="I148" s="10">
        <f t="shared" si="112"/>
        <v>50155</v>
      </c>
      <c r="J148" s="10">
        <f t="shared" si="112"/>
        <v>52030</v>
      </c>
      <c r="K148" s="10">
        <f t="shared" si="112"/>
        <v>53939</v>
      </c>
      <c r="L148" s="10">
        <f t="shared" si="112"/>
        <v>55883</v>
      </c>
      <c r="M148" s="10">
        <f t="shared" si="112"/>
        <v>58110</v>
      </c>
      <c r="N148" s="10">
        <f t="shared" si="112"/>
        <v>60381</v>
      </c>
      <c r="O148" s="10">
        <f t="shared" si="112"/>
        <v>62694</v>
      </c>
      <c r="P148" s="10">
        <f t="shared" si="112"/>
        <v>65050</v>
      </c>
    </row>
    <row r="149" spans="1:16" s="2" customFormat="1" hidden="1" outlineLevel="1" x14ac:dyDescent="0.25">
      <c r="A149" s="2">
        <v>6651</v>
      </c>
      <c r="B149" t="s">
        <v>606</v>
      </c>
      <c r="C149" s="301" t="s">
        <v>605</v>
      </c>
      <c r="D149" s="85">
        <v>0</v>
      </c>
      <c r="E149" s="107">
        <f>IF(E$182=0,0,($D149*12))</f>
        <v>0</v>
      </c>
      <c r="F149" s="107">
        <f t="shared" ref="F149:P151" si="113">IF(F$182=0,0,($D149*12))</f>
        <v>0</v>
      </c>
      <c r="G149" s="107">
        <f t="shared" si="113"/>
        <v>0</v>
      </c>
      <c r="H149" s="107">
        <f t="shared" si="113"/>
        <v>0</v>
      </c>
      <c r="I149" s="107">
        <f t="shared" si="113"/>
        <v>0</v>
      </c>
      <c r="J149" s="107">
        <f t="shared" si="113"/>
        <v>0</v>
      </c>
      <c r="K149" s="107">
        <f t="shared" si="113"/>
        <v>0</v>
      </c>
      <c r="L149" s="107">
        <f t="shared" si="113"/>
        <v>0</v>
      </c>
      <c r="M149" s="107">
        <f t="shared" si="113"/>
        <v>0</v>
      </c>
      <c r="N149" s="107">
        <f t="shared" si="113"/>
        <v>0</v>
      </c>
      <c r="O149" s="107">
        <f t="shared" si="113"/>
        <v>0</v>
      </c>
      <c r="P149" s="107">
        <f t="shared" si="113"/>
        <v>0</v>
      </c>
    </row>
    <row r="150" spans="1:16" s="2" customFormat="1" hidden="1" outlineLevel="1" x14ac:dyDescent="0.25">
      <c r="A150" s="2">
        <v>6651</v>
      </c>
      <c r="B150" t="s">
        <v>607</v>
      </c>
      <c r="C150" s="301" t="s">
        <v>605</v>
      </c>
      <c r="D150" s="85">
        <v>0</v>
      </c>
      <c r="E150" s="107">
        <f>IF(E$182=0,0,($D150*12))</f>
        <v>0</v>
      </c>
      <c r="F150" s="107">
        <f t="shared" si="113"/>
        <v>0</v>
      </c>
      <c r="G150" s="107">
        <f t="shared" si="113"/>
        <v>0</v>
      </c>
      <c r="H150" s="107">
        <f t="shared" si="113"/>
        <v>0</v>
      </c>
      <c r="I150" s="107">
        <f t="shared" si="113"/>
        <v>0</v>
      </c>
      <c r="J150" s="107">
        <f t="shared" si="113"/>
        <v>0</v>
      </c>
      <c r="K150" s="107">
        <f t="shared" si="113"/>
        <v>0</v>
      </c>
      <c r="L150" s="107">
        <f t="shared" si="113"/>
        <v>0</v>
      </c>
      <c r="M150" s="107">
        <f t="shared" si="113"/>
        <v>0</v>
      </c>
      <c r="N150" s="107">
        <f t="shared" si="113"/>
        <v>0</v>
      </c>
      <c r="O150" s="107">
        <f t="shared" si="113"/>
        <v>0</v>
      </c>
      <c r="P150" s="107">
        <f t="shared" si="113"/>
        <v>0</v>
      </c>
    </row>
    <row r="151" spans="1:16" s="2" customFormat="1" hidden="1" outlineLevel="1" x14ac:dyDescent="0.25">
      <c r="A151" s="2">
        <v>6651</v>
      </c>
      <c r="B151" t="s">
        <v>608</v>
      </c>
      <c r="C151" s="301" t="s">
        <v>605</v>
      </c>
      <c r="D151" s="85">
        <v>0</v>
      </c>
      <c r="E151" s="107">
        <f>IF(E$182=0,0,($D151*12))</f>
        <v>0</v>
      </c>
      <c r="F151" s="107">
        <f t="shared" si="113"/>
        <v>0</v>
      </c>
      <c r="G151" s="107">
        <f t="shared" si="113"/>
        <v>0</v>
      </c>
      <c r="H151" s="107">
        <f t="shared" si="113"/>
        <v>0</v>
      </c>
      <c r="I151" s="107">
        <f t="shared" si="113"/>
        <v>0</v>
      </c>
      <c r="J151" s="107">
        <f t="shared" si="113"/>
        <v>0</v>
      </c>
      <c r="K151" s="107">
        <f t="shared" si="113"/>
        <v>0</v>
      </c>
      <c r="L151" s="107">
        <f t="shared" si="113"/>
        <v>0</v>
      </c>
      <c r="M151" s="107">
        <f t="shared" si="113"/>
        <v>0</v>
      </c>
      <c r="N151" s="107">
        <f t="shared" si="113"/>
        <v>0</v>
      </c>
      <c r="O151" s="107">
        <f t="shared" si="113"/>
        <v>0</v>
      </c>
      <c r="P151" s="107">
        <f t="shared" si="113"/>
        <v>0</v>
      </c>
    </row>
    <row r="152" spans="1:16" s="2" customFormat="1" hidden="1" outlineLevel="1" x14ac:dyDescent="0.25">
      <c r="A152" s="2">
        <v>6651</v>
      </c>
      <c r="B152" t="s">
        <v>609</v>
      </c>
      <c r="C152" s="301" t="s">
        <v>604</v>
      </c>
      <c r="D152" s="85">
        <v>0</v>
      </c>
      <c r="E152" s="107">
        <f t="shared" ref="E152:E159" si="114">IF(E$182=0,0,$D152)</f>
        <v>0</v>
      </c>
      <c r="F152" s="107">
        <f t="shared" ref="F152:P159" si="115">IF(F$182=0,0,$D152)</f>
        <v>0</v>
      </c>
      <c r="G152" s="107">
        <f t="shared" si="115"/>
        <v>0</v>
      </c>
      <c r="H152" s="107">
        <f t="shared" si="115"/>
        <v>0</v>
      </c>
      <c r="I152" s="107">
        <f t="shared" si="115"/>
        <v>0</v>
      </c>
      <c r="J152" s="107">
        <f t="shared" si="115"/>
        <v>0</v>
      </c>
      <c r="K152" s="107">
        <f t="shared" si="115"/>
        <v>0</v>
      </c>
      <c r="L152" s="107">
        <f t="shared" si="115"/>
        <v>0</v>
      </c>
      <c r="M152" s="107">
        <f t="shared" si="115"/>
        <v>0</v>
      </c>
      <c r="N152" s="107">
        <f t="shared" si="115"/>
        <v>0</v>
      </c>
      <c r="O152" s="107">
        <f t="shared" si="115"/>
        <v>0</v>
      </c>
      <c r="P152" s="107">
        <f t="shared" si="115"/>
        <v>0</v>
      </c>
    </row>
    <row r="153" spans="1:16" s="2" customFormat="1" hidden="1" outlineLevel="1" x14ac:dyDescent="0.25">
      <c r="A153" s="2">
        <v>6651</v>
      </c>
      <c r="B153" t="s">
        <v>610</v>
      </c>
      <c r="C153" s="301" t="s">
        <v>604</v>
      </c>
      <c r="D153" s="85">
        <v>0</v>
      </c>
      <c r="E153" s="107">
        <f t="shared" si="114"/>
        <v>0</v>
      </c>
      <c r="F153" s="107">
        <f t="shared" si="115"/>
        <v>0</v>
      </c>
      <c r="G153" s="107">
        <f t="shared" si="115"/>
        <v>0</v>
      </c>
      <c r="H153" s="107">
        <f t="shared" si="115"/>
        <v>0</v>
      </c>
      <c r="I153" s="107">
        <f t="shared" si="115"/>
        <v>0</v>
      </c>
      <c r="J153" s="107">
        <f t="shared" si="115"/>
        <v>0</v>
      </c>
      <c r="K153" s="107">
        <f t="shared" si="115"/>
        <v>0</v>
      </c>
      <c r="L153" s="107">
        <f t="shared" si="115"/>
        <v>0</v>
      </c>
      <c r="M153" s="107">
        <f t="shared" si="115"/>
        <v>0</v>
      </c>
      <c r="N153" s="107">
        <f t="shared" si="115"/>
        <v>0</v>
      </c>
      <c r="O153" s="107">
        <f t="shared" si="115"/>
        <v>0</v>
      </c>
      <c r="P153" s="107">
        <f t="shared" si="115"/>
        <v>0</v>
      </c>
    </row>
    <row r="154" spans="1:16" s="2" customFormat="1" hidden="1" outlineLevel="1" x14ac:dyDescent="0.25">
      <c r="A154" s="2">
        <v>6651</v>
      </c>
      <c r="B154" t="s">
        <v>611</v>
      </c>
      <c r="C154" s="301" t="s">
        <v>604</v>
      </c>
      <c r="D154" s="85">
        <v>0</v>
      </c>
      <c r="E154" s="107">
        <f t="shared" si="114"/>
        <v>0</v>
      </c>
      <c r="F154" s="107">
        <f t="shared" si="115"/>
        <v>0</v>
      </c>
      <c r="G154" s="107">
        <f t="shared" si="115"/>
        <v>0</v>
      </c>
      <c r="H154" s="107">
        <f t="shared" si="115"/>
        <v>0</v>
      </c>
      <c r="I154" s="107">
        <f t="shared" si="115"/>
        <v>0</v>
      </c>
      <c r="J154" s="107">
        <f t="shared" si="115"/>
        <v>0</v>
      </c>
      <c r="K154" s="107">
        <f t="shared" si="115"/>
        <v>0</v>
      </c>
      <c r="L154" s="107">
        <f t="shared" si="115"/>
        <v>0</v>
      </c>
      <c r="M154" s="107">
        <f t="shared" si="115"/>
        <v>0</v>
      </c>
      <c r="N154" s="107">
        <f t="shared" si="115"/>
        <v>0</v>
      </c>
      <c r="O154" s="107">
        <f t="shared" si="115"/>
        <v>0</v>
      </c>
      <c r="P154" s="107">
        <f t="shared" si="115"/>
        <v>0</v>
      </c>
    </row>
    <row r="155" spans="1:16" s="2" customFormat="1" hidden="1" outlineLevel="1" x14ac:dyDescent="0.25">
      <c r="A155" s="2">
        <v>6651</v>
      </c>
      <c r="B155" t="s">
        <v>612</v>
      </c>
      <c r="C155" s="301" t="s">
        <v>604</v>
      </c>
      <c r="D155" s="85">
        <v>0</v>
      </c>
      <c r="E155" s="107">
        <f t="shared" si="114"/>
        <v>0</v>
      </c>
      <c r="F155" s="107">
        <f t="shared" si="115"/>
        <v>0</v>
      </c>
      <c r="G155" s="107">
        <f t="shared" si="115"/>
        <v>0</v>
      </c>
      <c r="H155" s="107">
        <f t="shared" si="115"/>
        <v>0</v>
      </c>
      <c r="I155" s="107">
        <f t="shared" si="115"/>
        <v>0</v>
      </c>
      <c r="J155" s="107">
        <f t="shared" si="115"/>
        <v>0</v>
      </c>
      <c r="K155" s="107">
        <f t="shared" si="115"/>
        <v>0</v>
      </c>
      <c r="L155" s="107">
        <f t="shared" si="115"/>
        <v>0</v>
      </c>
      <c r="M155" s="107">
        <f t="shared" si="115"/>
        <v>0</v>
      </c>
      <c r="N155" s="107">
        <f t="shared" si="115"/>
        <v>0</v>
      </c>
      <c r="O155" s="107">
        <f t="shared" si="115"/>
        <v>0</v>
      </c>
      <c r="P155" s="107">
        <f t="shared" si="115"/>
        <v>0</v>
      </c>
    </row>
    <row r="156" spans="1:16" s="2" customFormat="1" hidden="1" outlineLevel="1" x14ac:dyDescent="0.25">
      <c r="A156" s="2">
        <v>6651</v>
      </c>
      <c r="B156" t="s">
        <v>613</v>
      </c>
      <c r="C156" s="301" t="s">
        <v>604</v>
      </c>
      <c r="D156" s="85">
        <v>0</v>
      </c>
      <c r="E156" s="107">
        <f t="shared" si="114"/>
        <v>0</v>
      </c>
      <c r="F156" s="107">
        <f t="shared" si="115"/>
        <v>0</v>
      </c>
      <c r="G156" s="107">
        <f t="shared" si="115"/>
        <v>0</v>
      </c>
      <c r="H156" s="107">
        <f t="shared" si="115"/>
        <v>0</v>
      </c>
      <c r="I156" s="107">
        <f t="shared" si="115"/>
        <v>0</v>
      </c>
      <c r="J156" s="107">
        <f t="shared" si="115"/>
        <v>0</v>
      </c>
      <c r="K156" s="107">
        <f t="shared" si="115"/>
        <v>0</v>
      </c>
      <c r="L156" s="107">
        <f t="shared" si="115"/>
        <v>0</v>
      </c>
      <c r="M156" s="107">
        <f t="shared" si="115"/>
        <v>0</v>
      </c>
      <c r="N156" s="107">
        <f t="shared" si="115"/>
        <v>0</v>
      </c>
      <c r="O156" s="107">
        <f t="shared" si="115"/>
        <v>0</v>
      </c>
      <c r="P156" s="107">
        <f t="shared" si="115"/>
        <v>0</v>
      </c>
    </row>
    <row r="157" spans="1:16" s="2" customFormat="1" hidden="1" outlineLevel="1" x14ac:dyDescent="0.25">
      <c r="A157" s="2">
        <v>6651</v>
      </c>
      <c r="B157" t="s">
        <v>614</v>
      </c>
      <c r="C157" s="301" t="s">
        <v>604</v>
      </c>
      <c r="D157" s="85">
        <v>0</v>
      </c>
      <c r="E157" s="107">
        <f t="shared" si="114"/>
        <v>0</v>
      </c>
      <c r="F157" s="107">
        <f t="shared" si="115"/>
        <v>0</v>
      </c>
      <c r="G157" s="107">
        <f t="shared" si="115"/>
        <v>0</v>
      </c>
      <c r="H157" s="107">
        <f t="shared" si="115"/>
        <v>0</v>
      </c>
      <c r="I157" s="107">
        <f t="shared" si="115"/>
        <v>0</v>
      </c>
      <c r="J157" s="107">
        <f t="shared" si="115"/>
        <v>0</v>
      </c>
      <c r="K157" s="107">
        <f t="shared" si="115"/>
        <v>0</v>
      </c>
      <c r="L157" s="107">
        <f t="shared" si="115"/>
        <v>0</v>
      </c>
      <c r="M157" s="107">
        <f t="shared" si="115"/>
        <v>0</v>
      </c>
      <c r="N157" s="107">
        <f t="shared" si="115"/>
        <v>0</v>
      </c>
      <c r="O157" s="107">
        <f t="shared" si="115"/>
        <v>0</v>
      </c>
      <c r="P157" s="107">
        <f t="shared" si="115"/>
        <v>0</v>
      </c>
    </row>
    <row r="158" spans="1:16" s="2" customFormat="1" hidden="1" outlineLevel="1" x14ac:dyDescent="0.25">
      <c r="A158" s="2">
        <v>6651</v>
      </c>
      <c r="B158" t="s">
        <v>764</v>
      </c>
      <c r="C158" s="301" t="s">
        <v>604</v>
      </c>
      <c r="D158" s="85">
        <v>0</v>
      </c>
      <c r="E158" s="107">
        <f t="shared" si="114"/>
        <v>0</v>
      </c>
      <c r="F158" s="107">
        <f t="shared" si="115"/>
        <v>0</v>
      </c>
      <c r="G158" s="107">
        <f t="shared" si="115"/>
        <v>0</v>
      </c>
      <c r="H158" s="107">
        <f t="shared" si="115"/>
        <v>0</v>
      </c>
      <c r="I158" s="107">
        <f t="shared" si="115"/>
        <v>0</v>
      </c>
      <c r="J158" s="107">
        <f t="shared" si="115"/>
        <v>0</v>
      </c>
      <c r="K158" s="107">
        <f t="shared" si="115"/>
        <v>0</v>
      </c>
      <c r="L158" s="107">
        <f t="shared" si="115"/>
        <v>0</v>
      </c>
      <c r="M158" s="107">
        <f t="shared" si="115"/>
        <v>0</v>
      </c>
      <c r="N158" s="107">
        <f t="shared" si="115"/>
        <v>0</v>
      </c>
      <c r="O158" s="107">
        <f t="shared" si="115"/>
        <v>0</v>
      </c>
      <c r="P158" s="107">
        <f t="shared" si="115"/>
        <v>0</v>
      </c>
    </row>
    <row r="159" spans="1:16" s="2" customFormat="1" hidden="1" outlineLevel="1" x14ac:dyDescent="0.25">
      <c r="A159" s="2">
        <v>6651</v>
      </c>
      <c r="B159" t="s">
        <v>765</v>
      </c>
      <c r="C159" s="301" t="s">
        <v>604</v>
      </c>
      <c r="D159" s="85">
        <v>0</v>
      </c>
      <c r="E159" s="32">
        <f t="shared" si="114"/>
        <v>0</v>
      </c>
      <c r="F159" s="32">
        <f t="shared" si="115"/>
        <v>0</v>
      </c>
      <c r="G159" s="32">
        <f t="shared" si="115"/>
        <v>0</v>
      </c>
      <c r="H159" s="32">
        <f t="shared" si="115"/>
        <v>0</v>
      </c>
      <c r="I159" s="32">
        <f t="shared" si="115"/>
        <v>0</v>
      </c>
      <c r="J159" s="32">
        <f t="shared" si="115"/>
        <v>0</v>
      </c>
      <c r="K159" s="32">
        <f t="shared" si="115"/>
        <v>0</v>
      </c>
      <c r="L159" s="32">
        <f t="shared" si="115"/>
        <v>0</v>
      </c>
      <c r="M159" s="32">
        <f t="shared" si="115"/>
        <v>0</v>
      </c>
      <c r="N159" s="32">
        <f t="shared" si="115"/>
        <v>0</v>
      </c>
      <c r="O159" s="32">
        <f t="shared" si="115"/>
        <v>0</v>
      </c>
      <c r="P159" s="32">
        <f t="shared" si="115"/>
        <v>0</v>
      </c>
    </row>
    <row r="160" spans="1:16" s="2" customFormat="1" collapsed="1" x14ac:dyDescent="0.25">
      <c r="A160" s="2">
        <v>651</v>
      </c>
      <c r="B160" s="18" t="s">
        <v>469</v>
      </c>
      <c r="D160" s="164"/>
      <c r="E160" s="10">
        <f>SUM(E149:E159)</f>
        <v>0</v>
      </c>
      <c r="F160" s="10">
        <f t="shared" ref="F160:P160" si="116">SUM(F149:F159)</f>
        <v>0</v>
      </c>
      <c r="G160" s="10">
        <f t="shared" si="116"/>
        <v>0</v>
      </c>
      <c r="H160" s="10">
        <f t="shared" si="116"/>
        <v>0</v>
      </c>
      <c r="I160" s="10">
        <f t="shared" si="116"/>
        <v>0</v>
      </c>
      <c r="J160" s="10">
        <f t="shared" si="116"/>
        <v>0</v>
      </c>
      <c r="K160" s="10">
        <f t="shared" si="116"/>
        <v>0</v>
      </c>
      <c r="L160" s="10">
        <f t="shared" si="116"/>
        <v>0</v>
      </c>
      <c r="M160" s="10">
        <f t="shared" si="116"/>
        <v>0</v>
      </c>
      <c r="N160" s="10">
        <f t="shared" si="116"/>
        <v>0</v>
      </c>
      <c r="O160" s="10">
        <f t="shared" si="116"/>
        <v>0</v>
      </c>
      <c r="P160" s="10">
        <f t="shared" si="116"/>
        <v>0</v>
      </c>
    </row>
    <row r="161" spans="1:16" s="2" customFormat="1" hidden="1" outlineLevel="1" x14ac:dyDescent="0.25">
      <c r="A161" s="2">
        <v>6730</v>
      </c>
      <c r="B161" s="18" t="s">
        <v>499</v>
      </c>
      <c r="C161" s="2" t="s">
        <v>638</v>
      </c>
      <c r="D161" s="85">
        <v>500</v>
      </c>
      <c r="E161" s="107">
        <v>0</v>
      </c>
      <c r="F161" s="10">
        <f>IF(F$182=0,0,(ROUND(0.1*F182,0)*$D161))</f>
        <v>10000</v>
      </c>
      <c r="G161" s="107">
        <v>0</v>
      </c>
      <c r="H161" s="107">
        <v>0</v>
      </c>
      <c r="I161" s="107">
        <v>0</v>
      </c>
      <c r="J161" s="10">
        <f>IF(J$182=0,0,(ROUND(0.1*J182,0)*$D161))</f>
        <v>11000</v>
      </c>
      <c r="K161" s="107">
        <v>0</v>
      </c>
      <c r="L161" s="107">
        <v>0</v>
      </c>
      <c r="M161" s="107">
        <v>0</v>
      </c>
      <c r="N161" s="10">
        <f>IF(N$182=0,0,(ROUND(0.1*N182,0)*$D161))</f>
        <v>12000</v>
      </c>
      <c r="O161" s="107">
        <v>0</v>
      </c>
      <c r="P161" s="107">
        <v>0</v>
      </c>
    </row>
    <row r="162" spans="1:16" s="2" customFormat="1" hidden="1" outlineLevel="1" x14ac:dyDescent="0.25">
      <c r="A162" s="2">
        <v>6730</v>
      </c>
      <c r="B162" s="18" t="s">
        <v>500</v>
      </c>
      <c r="C162" s="18" t="s">
        <v>618</v>
      </c>
      <c r="D162" s="85">
        <v>5000</v>
      </c>
      <c r="E162" s="107">
        <v>0</v>
      </c>
      <c r="F162" s="107">
        <v>0</v>
      </c>
      <c r="G162" s="107">
        <v>0</v>
      </c>
      <c r="H162" s="107">
        <v>0</v>
      </c>
      <c r="I162" s="107">
        <f>IF(I$182=0,0,$D162)</f>
        <v>5000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f>IF(O$182=0,0,$D162)</f>
        <v>5000</v>
      </c>
      <c r="P162" s="107">
        <v>0</v>
      </c>
    </row>
    <row r="163" spans="1:16" s="2" customFormat="1" hidden="1" outlineLevel="1" x14ac:dyDescent="0.25">
      <c r="A163" s="2">
        <v>6730</v>
      </c>
      <c r="B163" s="18" t="s">
        <v>318</v>
      </c>
      <c r="C163" s="18" t="s">
        <v>619</v>
      </c>
      <c r="D163" s="85">
        <v>3000</v>
      </c>
      <c r="E163" s="32">
        <v>0</v>
      </c>
      <c r="F163" s="32">
        <v>0</v>
      </c>
      <c r="G163" s="32">
        <v>0</v>
      </c>
      <c r="H163" s="32">
        <f>IF(H$182=0,0,$D163)</f>
        <v>3000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f>IF(N$182=0,0,$D163)</f>
        <v>3000</v>
      </c>
      <c r="O163" s="32">
        <v>0</v>
      </c>
      <c r="P163" s="32">
        <v>0</v>
      </c>
    </row>
    <row r="164" spans="1:16" s="2" customFormat="1" collapsed="1" x14ac:dyDescent="0.25">
      <c r="A164" s="2">
        <v>700</v>
      </c>
      <c r="B164" s="18" t="s">
        <v>501</v>
      </c>
      <c r="D164" s="164"/>
      <c r="E164" s="10">
        <f>SUM(E161:E163)</f>
        <v>0</v>
      </c>
      <c r="F164" s="10">
        <f t="shared" ref="F164:P164" si="117">SUM(F161:F163)</f>
        <v>10000</v>
      </c>
      <c r="G164" s="10">
        <f t="shared" si="117"/>
        <v>0</v>
      </c>
      <c r="H164" s="10">
        <f t="shared" si="117"/>
        <v>3000</v>
      </c>
      <c r="I164" s="10">
        <f t="shared" si="117"/>
        <v>5000</v>
      </c>
      <c r="J164" s="10">
        <f t="shared" si="117"/>
        <v>11000</v>
      </c>
      <c r="K164" s="10">
        <f t="shared" si="117"/>
        <v>0</v>
      </c>
      <c r="L164" s="10">
        <f t="shared" si="117"/>
        <v>0</v>
      </c>
      <c r="M164" s="10">
        <f t="shared" si="117"/>
        <v>0</v>
      </c>
      <c r="N164" s="10">
        <f t="shared" si="117"/>
        <v>15000</v>
      </c>
      <c r="O164" s="10">
        <f t="shared" si="117"/>
        <v>5000</v>
      </c>
      <c r="P164" s="10">
        <f t="shared" si="117"/>
        <v>0</v>
      </c>
    </row>
    <row r="165" spans="1:16" s="2" customFormat="1" hidden="1" outlineLevel="1" x14ac:dyDescent="0.25">
      <c r="A165" s="2">
        <v>6810</v>
      </c>
      <c r="B165" s="18" t="s">
        <v>503</v>
      </c>
      <c r="C165" s="133" t="s">
        <v>620</v>
      </c>
      <c r="D165" s="196">
        <v>5</v>
      </c>
      <c r="E165" s="10">
        <f>IF(E$182=0,0,$D165*E$182)</f>
        <v>1000</v>
      </c>
      <c r="F165" s="10">
        <f t="shared" ref="F165:P166" si="118">IF(F$182=0,0,$D165*F$182)</f>
        <v>1020</v>
      </c>
      <c r="G165" s="10">
        <f t="shared" si="118"/>
        <v>1040</v>
      </c>
      <c r="H165" s="10">
        <f t="shared" si="118"/>
        <v>1060</v>
      </c>
      <c r="I165" s="10">
        <f t="shared" si="118"/>
        <v>1080</v>
      </c>
      <c r="J165" s="10">
        <f t="shared" si="118"/>
        <v>1100</v>
      </c>
      <c r="K165" s="10">
        <f t="shared" si="118"/>
        <v>1120</v>
      </c>
      <c r="L165" s="10">
        <f t="shared" si="118"/>
        <v>1140</v>
      </c>
      <c r="M165" s="10">
        <f t="shared" si="118"/>
        <v>1165</v>
      </c>
      <c r="N165" s="10">
        <f t="shared" si="118"/>
        <v>1190</v>
      </c>
      <c r="O165" s="10">
        <f t="shared" si="118"/>
        <v>1215</v>
      </c>
      <c r="P165" s="10">
        <f t="shared" si="118"/>
        <v>1240</v>
      </c>
    </row>
    <row r="166" spans="1:16" s="2" customFormat="1" hidden="1" outlineLevel="1" x14ac:dyDescent="0.25">
      <c r="A166" s="2">
        <v>6810</v>
      </c>
      <c r="B166" s="18" t="s">
        <v>504</v>
      </c>
      <c r="C166" s="133" t="s">
        <v>620</v>
      </c>
      <c r="D166" s="196">
        <v>5</v>
      </c>
      <c r="E166" s="10">
        <f>IF(E$182=0,0,$D166*E$182)</f>
        <v>1000</v>
      </c>
      <c r="F166" s="10">
        <f t="shared" si="118"/>
        <v>1020</v>
      </c>
      <c r="G166" s="10">
        <f t="shared" si="118"/>
        <v>1040</v>
      </c>
      <c r="H166" s="10">
        <f t="shared" si="118"/>
        <v>1060</v>
      </c>
      <c r="I166" s="10">
        <f t="shared" si="118"/>
        <v>1080</v>
      </c>
      <c r="J166" s="10">
        <f t="shared" si="118"/>
        <v>1100</v>
      </c>
      <c r="K166" s="10">
        <f t="shared" si="118"/>
        <v>1120</v>
      </c>
      <c r="L166" s="10">
        <f t="shared" si="118"/>
        <v>1140</v>
      </c>
      <c r="M166" s="10">
        <f t="shared" si="118"/>
        <v>1165</v>
      </c>
      <c r="N166" s="10">
        <f t="shared" si="118"/>
        <v>1190</v>
      </c>
      <c r="O166" s="10">
        <f t="shared" si="118"/>
        <v>1215</v>
      </c>
      <c r="P166" s="10">
        <f t="shared" si="118"/>
        <v>1240</v>
      </c>
    </row>
    <row r="167" spans="1:16" s="2" customFormat="1" hidden="1" outlineLevel="1" x14ac:dyDescent="0.25">
      <c r="A167" s="2">
        <v>6810</v>
      </c>
      <c r="B167" s="18" t="s">
        <v>505</v>
      </c>
      <c r="C167" s="2" t="s">
        <v>621</v>
      </c>
      <c r="D167" s="164">
        <v>5</v>
      </c>
      <c r="E167" s="107">
        <f>IF(E$182=0,0,$D167*10)</f>
        <v>50</v>
      </c>
      <c r="F167" s="107">
        <f t="shared" ref="F167:P167" si="119">IF(F$182=0,0,$D167*10)</f>
        <v>50</v>
      </c>
      <c r="G167" s="107">
        <f t="shared" si="119"/>
        <v>50</v>
      </c>
      <c r="H167" s="107">
        <f t="shared" si="119"/>
        <v>50</v>
      </c>
      <c r="I167" s="107">
        <f t="shared" si="119"/>
        <v>50</v>
      </c>
      <c r="J167" s="107">
        <f t="shared" si="119"/>
        <v>50</v>
      </c>
      <c r="K167" s="107">
        <f t="shared" si="119"/>
        <v>50</v>
      </c>
      <c r="L167" s="107">
        <f t="shared" si="119"/>
        <v>50</v>
      </c>
      <c r="M167" s="107">
        <f t="shared" si="119"/>
        <v>50</v>
      </c>
      <c r="N167" s="107">
        <f t="shared" si="119"/>
        <v>50</v>
      </c>
      <c r="O167" s="107">
        <f t="shared" si="119"/>
        <v>50</v>
      </c>
      <c r="P167" s="107">
        <f t="shared" si="119"/>
        <v>50</v>
      </c>
    </row>
    <row r="168" spans="1:16" s="2" customFormat="1" hidden="1" outlineLevel="1" x14ac:dyDescent="0.25">
      <c r="A168" s="2">
        <v>6810</v>
      </c>
      <c r="B168" s="18" t="s">
        <v>506</v>
      </c>
      <c r="C168" s="301" t="s">
        <v>604</v>
      </c>
      <c r="D168" s="85">
        <v>0</v>
      </c>
      <c r="E168" s="107">
        <f>IF(E$182=0,0,$D168)</f>
        <v>0</v>
      </c>
      <c r="F168" s="107">
        <f t="shared" ref="F168:P170" si="120">IF(F$182=0,0,$D168)</f>
        <v>0</v>
      </c>
      <c r="G168" s="107">
        <f t="shared" si="120"/>
        <v>0</v>
      </c>
      <c r="H168" s="107">
        <f t="shared" si="120"/>
        <v>0</v>
      </c>
      <c r="I168" s="107">
        <f t="shared" si="120"/>
        <v>0</v>
      </c>
      <c r="J168" s="107">
        <f t="shared" si="120"/>
        <v>0</v>
      </c>
      <c r="K168" s="107">
        <f t="shared" si="120"/>
        <v>0</v>
      </c>
      <c r="L168" s="107">
        <f t="shared" si="120"/>
        <v>0</v>
      </c>
      <c r="M168" s="107">
        <f t="shared" si="120"/>
        <v>0</v>
      </c>
      <c r="N168" s="107">
        <f t="shared" si="120"/>
        <v>0</v>
      </c>
      <c r="O168" s="107">
        <f t="shared" si="120"/>
        <v>0</v>
      </c>
      <c r="P168" s="107">
        <f t="shared" si="120"/>
        <v>0</v>
      </c>
    </row>
    <row r="169" spans="1:16" s="2" customFormat="1" hidden="1" outlineLevel="1" x14ac:dyDescent="0.25">
      <c r="A169" s="2">
        <v>6810</v>
      </c>
      <c r="B169" s="18" t="s">
        <v>507</v>
      </c>
      <c r="C169" s="301" t="s">
        <v>604</v>
      </c>
      <c r="D169" s="85">
        <v>0</v>
      </c>
      <c r="E169" s="107">
        <f>IF(E$182=0,0,$D169)</f>
        <v>0</v>
      </c>
      <c r="F169" s="107">
        <f t="shared" si="120"/>
        <v>0</v>
      </c>
      <c r="G169" s="107">
        <f t="shared" si="120"/>
        <v>0</v>
      </c>
      <c r="H169" s="107">
        <f t="shared" si="120"/>
        <v>0</v>
      </c>
      <c r="I169" s="107">
        <f t="shared" si="120"/>
        <v>0</v>
      </c>
      <c r="J169" s="107">
        <f t="shared" si="120"/>
        <v>0</v>
      </c>
      <c r="K169" s="107">
        <f t="shared" si="120"/>
        <v>0</v>
      </c>
      <c r="L169" s="107">
        <f t="shared" si="120"/>
        <v>0</v>
      </c>
      <c r="M169" s="107">
        <f t="shared" si="120"/>
        <v>0</v>
      </c>
      <c r="N169" s="107">
        <f t="shared" si="120"/>
        <v>0</v>
      </c>
      <c r="O169" s="107">
        <f t="shared" si="120"/>
        <v>0</v>
      </c>
      <c r="P169" s="107">
        <f t="shared" si="120"/>
        <v>0</v>
      </c>
    </row>
    <row r="170" spans="1:16" s="2" customFormat="1" hidden="1" outlineLevel="1" x14ac:dyDescent="0.25">
      <c r="A170" s="2">
        <v>6810</v>
      </c>
      <c r="B170" s="18" t="s">
        <v>525</v>
      </c>
      <c r="C170" s="301" t="s">
        <v>604</v>
      </c>
      <c r="D170" s="85">
        <v>0</v>
      </c>
      <c r="E170" s="107">
        <f>IF(E$182=0,0,$D170)</f>
        <v>0</v>
      </c>
      <c r="F170" s="107">
        <f t="shared" si="120"/>
        <v>0</v>
      </c>
      <c r="G170" s="107">
        <f t="shared" si="120"/>
        <v>0</v>
      </c>
      <c r="H170" s="107">
        <f t="shared" si="120"/>
        <v>0</v>
      </c>
      <c r="I170" s="107">
        <f t="shared" si="120"/>
        <v>0</v>
      </c>
      <c r="J170" s="107">
        <f t="shared" si="120"/>
        <v>0</v>
      </c>
      <c r="K170" s="107">
        <f t="shared" si="120"/>
        <v>0</v>
      </c>
      <c r="L170" s="107">
        <f t="shared" si="120"/>
        <v>0</v>
      </c>
      <c r="M170" s="107">
        <f t="shared" si="120"/>
        <v>0</v>
      </c>
      <c r="N170" s="107">
        <f t="shared" si="120"/>
        <v>0</v>
      </c>
      <c r="O170" s="107">
        <f t="shared" si="120"/>
        <v>0</v>
      </c>
      <c r="P170" s="107">
        <f t="shared" si="120"/>
        <v>0</v>
      </c>
    </row>
    <row r="171" spans="1:16" s="2" customFormat="1" hidden="1" outlineLevel="1" x14ac:dyDescent="0.25">
      <c r="A171" s="2">
        <v>6810</v>
      </c>
      <c r="B171" s="18" t="s">
        <v>508</v>
      </c>
      <c r="C171" s="301" t="s">
        <v>605</v>
      </c>
      <c r="D171" s="85">
        <v>0</v>
      </c>
      <c r="E171" s="107">
        <f>IF(E$182=0,0,($D171*12))</f>
        <v>0</v>
      </c>
      <c r="F171" s="107">
        <f t="shared" ref="F171:P171" si="121">IF(F$182=0,0,($D171*12))</f>
        <v>0</v>
      </c>
      <c r="G171" s="107">
        <f t="shared" si="121"/>
        <v>0</v>
      </c>
      <c r="H171" s="107">
        <f t="shared" si="121"/>
        <v>0</v>
      </c>
      <c r="I171" s="107">
        <f t="shared" si="121"/>
        <v>0</v>
      </c>
      <c r="J171" s="107">
        <f t="shared" si="121"/>
        <v>0</v>
      </c>
      <c r="K171" s="107">
        <f t="shared" si="121"/>
        <v>0</v>
      </c>
      <c r="L171" s="107">
        <f t="shared" si="121"/>
        <v>0</v>
      </c>
      <c r="M171" s="107">
        <f t="shared" si="121"/>
        <v>0</v>
      </c>
      <c r="N171" s="107">
        <f t="shared" si="121"/>
        <v>0</v>
      </c>
      <c r="O171" s="107">
        <f t="shared" si="121"/>
        <v>0</v>
      </c>
      <c r="P171" s="107">
        <f t="shared" si="121"/>
        <v>0</v>
      </c>
    </row>
    <row r="172" spans="1:16" s="2" customFormat="1" hidden="1" outlineLevel="1" x14ac:dyDescent="0.25">
      <c r="A172" s="2">
        <v>6810</v>
      </c>
      <c r="B172" s="18" t="s">
        <v>509</v>
      </c>
      <c r="C172" s="2" t="s">
        <v>622</v>
      </c>
      <c r="D172" s="85">
        <v>0</v>
      </c>
      <c r="E172" s="32">
        <f>IF(E$182=0,0,$D172)</f>
        <v>0</v>
      </c>
      <c r="F172" s="32">
        <f t="shared" ref="F172:P172" si="122">IF(F$182=0,0,$D172)</f>
        <v>0</v>
      </c>
      <c r="G172" s="32">
        <f t="shared" si="122"/>
        <v>0</v>
      </c>
      <c r="H172" s="32">
        <f t="shared" si="122"/>
        <v>0</v>
      </c>
      <c r="I172" s="32">
        <f t="shared" si="122"/>
        <v>0</v>
      </c>
      <c r="J172" s="32">
        <f t="shared" si="122"/>
        <v>0</v>
      </c>
      <c r="K172" s="32">
        <f t="shared" si="122"/>
        <v>0</v>
      </c>
      <c r="L172" s="32">
        <f t="shared" si="122"/>
        <v>0</v>
      </c>
      <c r="M172" s="32">
        <f t="shared" si="122"/>
        <v>0</v>
      </c>
      <c r="N172" s="32">
        <f t="shared" si="122"/>
        <v>0</v>
      </c>
      <c r="O172" s="32">
        <f t="shared" si="122"/>
        <v>0</v>
      </c>
      <c r="P172" s="32">
        <f t="shared" si="122"/>
        <v>0</v>
      </c>
    </row>
    <row r="173" spans="1:16" s="2" customFormat="1" collapsed="1" x14ac:dyDescent="0.25">
      <c r="A173" s="2">
        <v>800</v>
      </c>
      <c r="B173" s="18" t="s">
        <v>502</v>
      </c>
      <c r="D173" s="181"/>
      <c r="E173" s="10">
        <f t="shared" ref="E173:P173" si="123">SUM(E165:E172)</f>
        <v>2050</v>
      </c>
      <c r="F173" s="10">
        <f t="shared" si="123"/>
        <v>2090</v>
      </c>
      <c r="G173" s="10">
        <f t="shared" si="123"/>
        <v>2130</v>
      </c>
      <c r="H173" s="10">
        <f t="shared" si="123"/>
        <v>2170</v>
      </c>
      <c r="I173" s="10">
        <f t="shared" si="123"/>
        <v>2210</v>
      </c>
      <c r="J173" s="10">
        <f t="shared" si="123"/>
        <v>2250</v>
      </c>
      <c r="K173" s="10">
        <f t="shared" si="123"/>
        <v>2290</v>
      </c>
      <c r="L173" s="10">
        <f t="shared" si="123"/>
        <v>2330</v>
      </c>
      <c r="M173" s="10">
        <f t="shared" si="123"/>
        <v>2380</v>
      </c>
      <c r="N173" s="10">
        <f t="shared" si="123"/>
        <v>2430</v>
      </c>
      <c r="O173" s="10">
        <f t="shared" si="123"/>
        <v>2480</v>
      </c>
      <c r="P173" s="10">
        <f t="shared" si="123"/>
        <v>2530</v>
      </c>
    </row>
    <row r="174" spans="1:16" s="2" customFormat="1" x14ac:dyDescent="0.25">
      <c r="A174" s="2">
        <v>900</v>
      </c>
      <c r="B174" s="18" t="s">
        <v>85</v>
      </c>
      <c r="C174" s="2" t="s">
        <v>694</v>
      </c>
      <c r="E174" s="154">
        <v>0</v>
      </c>
      <c r="F174" s="154">
        <v>0</v>
      </c>
      <c r="G174" s="154">
        <v>0</v>
      </c>
      <c r="H174" s="154">
        <v>0</v>
      </c>
      <c r="I174" s="154">
        <v>0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</row>
    <row r="175" spans="1:16" s="2" customFormat="1" x14ac:dyDescent="0.25">
      <c r="A175" s="2">
        <v>950</v>
      </c>
      <c r="B175" s="18" t="s">
        <v>86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1:16" s="2" customFormat="1" x14ac:dyDescent="0.25">
      <c r="A176" s="16" t="s">
        <v>216</v>
      </c>
      <c r="E176" s="183">
        <f>E175+E174+E173+E164+E160+E148+E145+E141+E140+E139+E138+E134+E133+E126+E120+E119+E118+E114+E109+E108+E105+E104+E102+E101+E96+E92+E84+E83+E82+E81+E55</f>
        <v>901584.37800000003</v>
      </c>
      <c r="F176" s="183">
        <f>F175+F174+F173+F164+F160+F148+F145+F141+F140+F139+F138+F134+F133+F126+F120+F119+F118+F114+F109+F108+F105+F104+F102+F101+F96+F92+F84+F83+F82+F81+F55</f>
        <v>947069.12074699998</v>
      </c>
      <c r="G176" s="183">
        <f t="shared" ref="G176:P176" si="124">G175+G174+G173+G164+G160+G148+G145+G141+G140+G139+G138+G134+G133+G126+G120+G119+G118+G114+G109+G108+G105+G104+G102+G101+G96+G92+G84+G83+G82+G81+G55</f>
        <v>965131.48205250013</v>
      </c>
      <c r="H176" s="183">
        <f t="shared" si="124"/>
        <v>996644.19886072841</v>
      </c>
      <c r="I176" s="183">
        <f t="shared" si="124"/>
        <v>1027588.3495204448</v>
      </c>
      <c r="J176" s="183">
        <f t="shared" si="124"/>
        <v>1062961.0131418931</v>
      </c>
      <c r="K176" s="183">
        <f t="shared" si="124"/>
        <v>1081759.2696038166</v>
      </c>
      <c r="L176" s="183">
        <f t="shared" si="124"/>
        <v>1112489.1995605356</v>
      </c>
      <c r="M176" s="183">
        <f t="shared" si="124"/>
        <v>1146144.6420401358</v>
      </c>
      <c r="N176" s="183">
        <f t="shared" si="124"/>
        <v>1195333.5380423954</v>
      </c>
      <c r="O176" s="183">
        <f t="shared" si="124"/>
        <v>1220052.9887755557</v>
      </c>
      <c r="P176" s="183">
        <f t="shared" si="124"/>
        <v>1249387.096434223</v>
      </c>
    </row>
    <row r="177" spans="1:16" s="2" customFormat="1" ht="15.75" thickBot="1" x14ac:dyDescent="0.3">
      <c r="A177" s="16" t="s">
        <v>217</v>
      </c>
      <c r="E177" s="184">
        <f>E39-E176</f>
        <v>45795.621999999858</v>
      </c>
      <c r="F177" s="184">
        <f>F39-F176</f>
        <v>26505.936253000051</v>
      </c>
      <c r="G177" s="184">
        <f t="shared" ref="G177:P177" si="125">G39-G176</f>
        <v>34978.267677499913</v>
      </c>
      <c r="H177" s="184">
        <f t="shared" si="125"/>
        <v>30343.500393265509</v>
      </c>
      <c r="I177" s="184">
        <f t="shared" si="125"/>
        <v>26624.212326980545</v>
      </c>
      <c r="J177" s="184">
        <f t="shared" si="125"/>
        <v>18827.016179782106</v>
      </c>
      <c r="K177" s="184">
        <f t="shared" si="125"/>
        <v>27958.55974761839</v>
      </c>
      <c r="L177" s="184">
        <f t="shared" si="125"/>
        <v>25516.526244455948</v>
      </c>
      <c r="M177" s="184">
        <f t="shared" si="125"/>
        <v>25539.564619545126</v>
      </c>
      <c r="N177" s="184">
        <f t="shared" si="125"/>
        <v>10470.313862718875</v>
      </c>
      <c r="O177" s="184">
        <f t="shared" si="125"/>
        <v>20316.395817048615</v>
      </c>
      <c r="P177" s="184">
        <f t="shared" si="125"/>
        <v>25998.477369514294</v>
      </c>
    </row>
    <row r="178" spans="1:16" s="2" customFormat="1" ht="15.75" thickTop="1" x14ac:dyDescent="0.25"/>
    <row r="179" spans="1:16" s="2" customFormat="1" x14ac:dyDescent="0.25">
      <c r="A179" s="16" t="s">
        <v>43</v>
      </c>
      <c r="C179" s="202" t="s">
        <v>581</v>
      </c>
      <c r="E179" s="3" t="str">
        <f t="shared" ref="E179:P179" si="126">E3</f>
        <v>FY 2018-2019</v>
      </c>
      <c r="F179" s="3" t="str">
        <f t="shared" si="126"/>
        <v>FY 2019-2020</v>
      </c>
      <c r="G179" s="3" t="str">
        <f t="shared" si="126"/>
        <v>FY 2020-2021</v>
      </c>
      <c r="H179" s="3" t="str">
        <f t="shared" si="126"/>
        <v>FY 2021-2022</v>
      </c>
      <c r="I179" s="3" t="str">
        <f t="shared" si="126"/>
        <v>FY 2022-2023</v>
      </c>
      <c r="J179" s="3" t="str">
        <f t="shared" si="126"/>
        <v>FY 2023-2024</v>
      </c>
      <c r="K179" s="3" t="str">
        <f t="shared" si="126"/>
        <v>FY 2024-2025</v>
      </c>
      <c r="L179" s="3" t="str">
        <f t="shared" si="126"/>
        <v>FY 2025-2026</v>
      </c>
      <c r="M179" s="3" t="str">
        <f t="shared" si="126"/>
        <v>FY 2026-2027</v>
      </c>
      <c r="N179" s="3" t="str">
        <f t="shared" si="126"/>
        <v>FY 2027-2028</v>
      </c>
      <c r="O179" s="3" t="str">
        <f t="shared" si="126"/>
        <v>FY 2027-2028</v>
      </c>
      <c r="P179" s="3" t="str">
        <f t="shared" si="126"/>
        <v>FY 2028-2029</v>
      </c>
    </row>
    <row r="180" spans="1:16" s="2" customFormat="1" x14ac:dyDescent="0.25">
      <c r="C180" s="2">
        <v>11</v>
      </c>
      <c r="E180" s="133">
        <f>Assumptions!E22</f>
        <v>110</v>
      </c>
      <c r="F180" s="133">
        <f>Assumptions!F22</f>
        <v>110</v>
      </c>
      <c r="G180" s="133">
        <f>Assumptions!G22</f>
        <v>110</v>
      </c>
      <c r="H180" s="133">
        <f>Assumptions!H22</f>
        <v>120</v>
      </c>
      <c r="I180" s="133">
        <f>Assumptions!I22</f>
        <v>120</v>
      </c>
      <c r="J180" s="133">
        <f>Assumptions!J22</f>
        <v>120</v>
      </c>
      <c r="K180" s="133">
        <f>Assumptions!K22</f>
        <v>120</v>
      </c>
      <c r="L180" s="133">
        <f>Assumptions!L22</f>
        <v>130</v>
      </c>
      <c r="M180" s="133">
        <f>Assumptions!M22</f>
        <v>130</v>
      </c>
      <c r="N180" s="133">
        <f>Assumptions!N22</f>
        <v>130</v>
      </c>
      <c r="O180" s="133">
        <f>Assumptions!O22</f>
        <v>130</v>
      </c>
      <c r="P180" s="133">
        <f>Assumptions!P22</f>
        <v>140</v>
      </c>
    </row>
    <row r="181" spans="1:16" s="2" customFormat="1" x14ac:dyDescent="0.25">
      <c r="C181" s="2">
        <v>12</v>
      </c>
      <c r="E181" s="197">
        <f>Assumptions!E23</f>
        <v>90</v>
      </c>
      <c r="F181" s="197">
        <f>Assumptions!F23</f>
        <v>94</v>
      </c>
      <c r="G181" s="197">
        <f>Assumptions!G23</f>
        <v>98</v>
      </c>
      <c r="H181" s="197">
        <f>Assumptions!H23</f>
        <v>92</v>
      </c>
      <c r="I181" s="197">
        <f>Assumptions!I23</f>
        <v>96</v>
      </c>
      <c r="J181" s="197">
        <f>Assumptions!J23</f>
        <v>100</v>
      </c>
      <c r="K181" s="197">
        <f>Assumptions!K23</f>
        <v>104</v>
      </c>
      <c r="L181" s="197">
        <f>Assumptions!L23</f>
        <v>98</v>
      </c>
      <c r="M181" s="197">
        <f>Assumptions!M23</f>
        <v>103</v>
      </c>
      <c r="N181" s="197">
        <f>Assumptions!N23</f>
        <v>108</v>
      </c>
      <c r="O181" s="197">
        <f>Assumptions!O23</f>
        <v>113</v>
      </c>
      <c r="P181" s="197">
        <f>Assumptions!P23</f>
        <v>108</v>
      </c>
    </row>
    <row r="182" spans="1:16" s="2" customFormat="1" x14ac:dyDescent="0.25">
      <c r="E182" s="113">
        <f t="shared" ref="E182:P182" si="127">SUM(E180:E181)</f>
        <v>200</v>
      </c>
      <c r="F182" s="113">
        <f t="shared" si="127"/>
        <v>204</v>
      </c>
      <c r="G182" s="113">
        <f t="shared" si="127"/>
        <v>208</v>
      </c>
      <c r="H182" s="113">
        <f t="shared" si="127"/>
        <v>212</v>
      </c>
      <c r="I182" s="113">
        <f t="shared" si="127"/>
        <v>216</v>
      </c>
      <c r="J182" s="113">
        <f t="shared" si="127"/>
        <v>220</v>
      </c>
      <c r="K182" s="113">
        <f t="shared" si="127"/>
        <v>224</v>
      </c>
      <c r="L182" s="113">
        <f t="shared" si="127"/>
        <v>228</v>
      </c>
      <c r="M182" s="113">
        <f t="shared" si="127"/>
        <v>233</v>
      </c>
      <c r="N182" s="113">
        <f t="shared" si="127"/>
        <v>238</v>
      </c>
      <c r="O182" s="113">
        <f t="shared" si="127"/>
        <v>243</v>
      </c>
      <c r="P182" s="113">
        <f t="shared" si="127"/>
        <v>248</v>
      </c>
    </row>
    <row r="183" spans="1:16" s="2" customFormat="1" x14ac:dyDescent="0.25"/>
    <row r="184" spans="1:16" s="2" customFormat="1" x14ac:dyDescent="0.25">
      <c r="C184" s="202" t="s">
        <v>582</v>
      </c>
      <c r="E184" s="2">
        <f>Assumptions!E8</f>
        <v>750</v>
      </c>
      <c r="F184" s="2">
        <f>Assumptions!F8</f>
        <v>855</v>
      </c>
      <c r="G184" s="2">
        <f>Assumptions!G8</f>
        <v>910</v>
      </c>
      <c r="H184" s="2">
        <f>Assumptions!H8</f>
        <v>940</v>
      </c>
      <c r="I184" s="2">
        <f>Assumptions!I8</f>
        <v>970</v>
      </c>
      <c r="J184" s="2">
        <f>Assumptions!J8</f>
        <v>1002</v>
      </c>
      <c r="K184" s="2">
        <f>Assumptions!K8</f>
        <v>1036</v>
      </c>
      <c r="L184" s="2">
        <f>Assumptions!L8</f>
        <v>1070</v>
      </c>
      <c r="M184" s="2">
        <f>Assumptions!M8</f>
        <v>1108</v>
      </c>
      <c r="N184" s="2">
        <f>Assumptions!N8</f>
        <v>1146</v>
      </c>
      <c r="O184" s="2">
        <f>Assumptions!O8</f>
        <v>1185</v>
      </c>
      <c r="P184" s="2">
        <f>Assumptions!P8</f>
        <v>1226</v>
      </c>
    </row>
    <row r="185" spans="1:16" s="2" customFormat="1" x14ac:dyDescent="0.25">
      <c r="C185" s="202" t="s">
        <v>583</v>
      </c>
      <c r="D185" s="173">
        <f>Assumptions!D19</f>
        <v>0.02</v>
      </c>
      <c r="E185" s="2">
        <f>ROUND(E182*$D185,0)</f>
        <v>4</v>
      </c>
      <c r="F185" s="2">
        <f t="shared" ref="F185:P185" si="128">ROUND(F182*$D185,0)</f>
        <v>4</v>
      </c>
      <c r="G185" s="2">
        <f t="shared" si="128"/>
        <v>4</v>
      </c>
      <c r="H185" s="2">
        <f t="shared" si="128"/>
        <v>4</v>
      </c>
      <c r="I185" s="2">
        <f t="shared" si="128"/>
        <v>4</v>
      </c>
      <c r="J185" s="2">
        <f t="shared" si="128"/>
        <v>4</v>
      </c>
      <c r="K185" s="2">
        <f t="shared" si="128"/>
        <v>4</v>
      </c>
      <c r="L185" s="2">
        <f t="shared" si="128"/>
        <v>5</v>
      </c>
      <c r="M185" s="2">
        <f t="shared" si="128"/>
        <v>5</v>
      </c>
      <c r="N185" s="2">
        <f t="shared" si="128"/>
        <v>5</v>
      </c>
      <c r="O185" s="2">
        <f t="shared" si="128"/>
        <v>5</v>
      </c>
      <c r="P185" s="2">
        <f t="shared" si="128"/>
        <v>5</v>
      </c>
    </row>
    <row r="186" spans="1:16" s="2" customFormat="1" x14ac:dyDescent="0.25">
      <c r="C186" s="162"/>
      <c r="D186" s="162"/>
    </row>
    <row r="187" spans="1:16" s="2" customFormat="1" ht="15.75" customHeight="1" x14ac:dyDescent="0.25">
      <c r="A187" s="16" t="s">
        <v>71</v>
      </c>
      <c r="C187" s="200"/>
      <c r="D187" s="201"/>
      <c r="E187" s="3" t="str">
        <f t="shared" ref="E187:P187" si="129">E3</f>
        <v>FY 2018-2019</v>
      </c>
      <c r="F187" s="3" t="str">
        <f t="shared" si="129"/>
        <v>FY 2019-2020</v>
      </c>
      <c r="G187" s="3" t="str">
        <f t="shared" si="129"/>
        <v>FY 2020-2021</v>
      </c>
      <c r="H187" s="3" t="str">
        <f t="shared" si="129"/>
        <v>FY 2021-2022</v>
      </c>
      <c r="I187" s="3" t="str">
        <f t="shared" si="129"/>
        <v>FY 2022-2023</v>
      </c>
      <c r="J187" s="3" t="str">
        <f t="shared" si="129"/>
        <v>FY 2023-2024</v>
      </c>
      <c r="K187" s="3" t="str">
        <f t="shared" si="129"/>
        <v>FY 2024-2025</v>
      </c>
      <c r="L187" s="3" t="str">
        <f t="shared" si="129"/>
        <v>FY 2025-2026</v>
      </c>
      <c r="M187" s="3" t="str">
        <f t="shared" si="129"/>
        <v>FY 2026-2027</v>
      </c>
      <c r="N187" s="3" t="str">
        <f t="shared" si="129"/>
        <v>FY 2027-2028</v>
      </c>
      <c r="O187" s="3" t="str">
        <f t="shared" si="129"/>
        <v>FY 2027-2028</v>
      </c>
      <c r="P187" s="3" t="str">
        <f t="shared" si="129"/>
        <v>FY 2028-2029</v>
      </c>
    </row>
    <row r="188" spans="1:16" s="2" customFormat="1" x14ac:dyDescent="0.25">
      <c r="A188" s="2" t="s">
        <v>402</v>
      </c>
      <c r="B188" s="7" t="s">
        <v>410</v>
      </c>
      <c r="C188" s="219"/>
      <c r="D188" s="216"/>
      <c r="E188" s="175">
        <v>1</v>
      </c>
      <c r="F188" s="175">
        <v>1</v>
      </c>
      <c r="G188" s="175">
        <v>1</v>
      </c>
      <c r="H188" s="2">
        <f>G188</f>
        <v>1</v>
      </c>
      <c r="I188" s="2">
        <f t="shared" ref="I188:P191" si="130">H188</f>
        <v>1</v>
      </c>
      <c r="J188" s="2">
        <f t="shared" si="130"/>
        <v>1</v>
      </c>
      <c r="K188" s="2">
        <f t="shared" si="130"/>
        <v>1</v>
      </c>
      <c r="L188" s="2">
        <f t="shared" si="130"/>
        <v>1</v>
      </c>
      <c r="M188" s="2">
        <f t="shared" si="130"/>
        <v>1</v>
      </c>
      <c r="N188" s="2">
        <f t="shared" si="130"/>
        <v>1</v>
      </c>
      <c r="O188" s="2">
        <f t="shared" si="130"/>
        <v>1</v>
      </c>
      <c r="P188" s="2">
        <v>1</v>
      </c>
    </row>
    <row r="189" spans="1:16" s="2" customFormat="1" x14ac:dyDescent="0.25">
      <c r="A189" s="2" t="s">
        <v>404</v>
      </c>
      <c r="B189" s="7" t="s">
        <v>411</v>
      </c>
      <c r="C189" s="219"/>
      <c r="D189" s="216"/>
      <c r="E189" s="175">
        <v>1</v>
      </c>
      <c r="F189" s="175">
        <v>1</v>
      </c>
      <c r="G189" s="175">
        <v>1</v>
      </c>
      <c r="H189" s="175">
        <v>1</v>
      </c>
      <c r="I189" s="2">
        <f t="shared" si="130"/>
        <v>1</v>
      </c>
      <c r="J189" s="2">
        <f t="shared" si="130"/>
        <v>1</v>
      </c>
      <c r="K189" s="2">
        <f t="shared" si="130"/>
        <v>1</v>
      </c>
      <c r="L189" s="2">
        <f t="shared" si="130"/>
        <v>1</v>
      </c>
      <c r="M189" s="2">
        <f t="shared" si="130"/>
        <v>1</v>
      </c>
      <c r="N189" s="2">
        <f t="shared" si="130"/>
        <v>1</v>
      </c>
      <c r="O189" s="2">
        <f t="shared" si="130"/>
        <v>1</v>
      </c>
      <c r="P189" s="2">
        <f t="shared" si="130"/>
        <v>1</v>
      </c>
    </row>
    <row r="190" spans="1:16" s="2" customFormat="1" x14ac:dyDescent="0.25">
      <c r="A190" s="2" t="s">
        <v>407</v>
      </c>
      <c r="B190" s="7" t="s">
        <v>687</v>
      </c>
      <c r="C190" s="219"/>
      <c r="D190" s="216"/>
      <c r="E190" s="175">
        <v>1</v>
      </c>
      <c r="F190" s="175">
        <v>1</v>
      </c>
      <c r="G190" s="175">
        <v>1</v>
      </c>
      <c r="H190" s="175">
        <v>1</v>
      </c>
      <c r="I190" s="113">
        <f t="shared" si="130"/>
        <v>1</v>
      </c>
      <c r="J190" s="113">
        <f t="shared" si="130"/>
        <v>1</v>
      </c>
      <c r="K190" s="113">
        <f t="shared" si="130"/>
        <v>1</v>
      </c>
      <c r="L190" s="113">
        <f t="shared" si="130"/>
        <v>1</v>
      </c>
      <c r="M190" s="113">
        <f t="shared" si="130"/>
        <v>1</v>
      </c>
      <c r="N190" s="113">
        <f t="shared" si="130"/>
        <v>1</v>
      </c>
      <c r="O190" s="113">
        <f t="shared" si="130"/>
        <v>1</v>
      </c>
      <c r="P190" s="113">
        <f t="shared" si="130"/>
        <v>1</v>
      </c>
    </row>
    <row r="191" spans="1:16" s="2" customFormat="1" x14ac:dyDescent="0.25">
      <c r="A191" s="2">
        <v>6127</v>
      </c>
      <c r="B191" s="13" t="s">
        <v>395</v>
      </c>
      <c r="C191" s="220"/>
      <c r="D191" s="216"/>
      <c r="E191" s="175">
        <v>2</v>
      </c>
      <c r="F191" s="175">
        <v>2</v>
      </c>
      <c r="G191" s="175">
        <v>2</v>
      </c>
      <c r="H191" s="113">
        <f t="shared" ref="H191:I196" si="131">G191</f>
        <v>2</v>
      </c>
      <c r="I191" s="113">
        <f t="shared" si="131"/>
        <v>2</v>
      </c>
      <c r="J191" s="113">
        <f t="shared" si="130"/>
        <v>2</v>
      </c>
      <c r="K191" s="113">
        <f t="shared" si="130"/>
        <v>2</v>
      </c>
      <c r="L191" s="113">
        <f t="shared" si="130"/>
        <v>2</v>
      </c>
      <c r="M191" s="113">
        <f t="shared" si="130"/>
        <v>2</v>
      </c>
      <c r="N191" s="113">
        <f t="shared" si="130"/>
        <v>2</v>
      </c>
      <c r="O191" s="113">
        <f t="shared" si="130"/>
        <v>2</v>
      </c>
      <c r="P191" s="113">
        <f t="shared" si="130"/>
        <v>2</v>
      </c>
    </row>
    <row r="192" spans="1:16" s="2" customFormat="1" x14ac:dyDescent="0.25">
      <c r="A192" s="2">
        <v>6127</v>
      </c>
      <c r="B192" s="13" t="s">
        <v>396</v>
      </c>
      <c r="C192" s="220"/>
      <c r="D192" s="216"/>
      <c r="E192" s="175">
        <v>0</v>
      </c>
      <c r="F192" s="175">
        <v>1</v>
      </c>
      <c r="G192" s="175">
        <v>1</v>
      </c>
      <c r="H192" s="113">
        <f t="shared" si="131"/>
        <v>1</v>
      </c>
      <c r="I192" s="113">
        <f t="shared" si="131"/>
        <v>1</v>
      </c>
      <c r="J192" s="113">
        <f t="shared" ref="J192:P196" si="132">I192</f>
        <v>1</v>
      </c>
      <c r="K192" s="113">
        <f t="shared" si="132"/>
        <v>1</v>
      </c>
      <c r="L192" s="113">
        <f t="shared" si="132"/>
        <v>1</v>
      </c>
      <c r="M192" s="113">
        <f t="shared" si="132"/>
        <v>1</v>
      </c>
      <c r="N192" s="113">
        <f t="shared" si="132"/>
        <v>1</v>
      </c>
      <c r="O192" s="113">
        <f t="shared" si="132"/>
        <v>1</v>
      </c>
      <c r="P192" s="113">
        <f t="shared" si="132"/>
        <v>1</v>
      </c>
    </row>
    <row r="193" spans="1:16" s="2" customFormat="1" x14ac:dyDescent="0.25">
      <c r="A193" s="2">
        <v>6127</v>
      </c>
      <c r="B193" s="13" t="s">
        <v>533</v>
      </c>
      <c r="C193" s="220"/>
      <c r="D193" s="216"/>
      <c r="E193" s="175">
        <v>0</v>
      </c>
      <c r="F193" s="175">
        <v>0</v>
      </c>
      <c r="G193" s="175">
        <v>0</v>
      </c>
      <c r="H193" s="113">
        <f t="shared" si="131"/>
        <v>0</v>
      </c>
      <c r="I193" s="113">
        <f t="shared" si="131"/>
        <v>0</v>
      </c>
      <c r="J193" s="113">
        <f t="shared" si="132"/>
        <v>0</v>
      </c>
      <c r="K193" s="113">
        <f t="shared" si="132"/>
        <v>0</v>
      </c>
      <c r="L193" s="113">
        <f t="shared" si="132"/>
        <v>0</v>
      </c>
      <c r="M193" s="113">
        <f t="shared" si="132"/>
        <v>0</v>
      </c>
      <c r="N193" s="113">
        <f t="shared" si="132"/>
        <v>0</v>
      </c>
      <c r="O193" s="113">
        <f t="shared" si="132"/>
        <v>0</v>
      </c>
      <c r="P193" s="113">
        <f t="shared" si="132"/>
        <v>0</v>
      </c>
    </row>
    <row r="194" spans="1:16" s="2" customFormat="1" x14ac:dyDescent="0.25">
      <c r="A194" s="2">
        <v>6127</v>
      </c>
      <c r="B194" s="13" t="s">
        <v>534</v>
      </c>
      <c r="C194" s="220"/>
      <c r="D194" s="216"/>
      <c r="E194" s="175">
        <v>0</v>
      </c>
      <c r="F194" s="175">
        <v>0</v>
      </c>
      <c r="G194" s="175">
        <v>0</v>
      </c>
      <c r="H194" s="113">
        <f t="shared" si="131"/>
        <v>0</v>
      </c>
      <c r="I194" s="113">
        <f t="shared" si="131"/>
        <v>0</v>
      </c>
      <c r="J194" s="113">
        <f t="shared" si="132"/>
        <v>0</v>
      </c>
      <c r="K194" s="113">
        <f t="shared" si="132"/>
        <v>0</v>
      </c>
      <c r="L194" s="113">
        <f t="shared" si="132"/>
        <v>0</v>
      </c>
      <c r="M194" s="113">
        <f t="shared" si="132"/>
        <v>0</v>
      </c>
      <c r="N194" s="113">
        <f t="shared" si="132"/>
        <v>0</v>
      </c>
      <c r="O194" s="113">
        <f t="shared" si="132"/>
        <v>0</v>
      </c>
      <c r="P194" s="113">
        <f t="shared" si="132"/>
        <v>0</v>
      </c>
    </row>
    <row r="195" spans="1:16" s="2" customFormat="1" x14ac:dyDescent="0.25">
      <c r="A195" s="2">
        <v>6127</v>
      </c>
      <c r="B195" s="7" t="s">
        <v>540</v>
      </c>
      <c r="C195" s="219"/>
      <c r="D195" s="216"/>
      <c r="E195" s="185">
        <v>0</v>
      </c>
      <c r="F195" s="175">
        <v>0</v>
      </c>
      <c r="G195" s="175">
        <v>0</v>
      </c>
      <c r="H195" s="113">
        <f t="shared" si="131"/>
        <v>0</v>
      </c>
      <c r="I195" s="113">
        <f t="shared" si="131"/>
        <v>0</v>
      </c>
      <c r="J195" s="113">
        <f t="shared" si="132"/>
        <v>0</v>
      </c>
      <c r="K195" s="113">
        <f t="shared" si="132"/>
        <v>0</v>
      </c>
      <c r="L195" s="113">
        <f t="shared" si="132"/>
        <v>0</v>
      </c>
      <c r="M195" s="113">
        <f t="shared" si="132"/>
        <v>0</v>
      </c>
      <c r="N195" s="113">
        <f t="shared" si="132"/>
        <v>0</v>
      </c>
      <c r="O195" s="113">
        <f t="shared" si="132"/>
        <v>0</v>
      </c>
      <c r="P195" s="113">
        <f t="shared" si="132"/>
        <v>0</v>
      </c>
    </row>
    <row r="196" spans="1:16" s="2" customFormat="1" x14ac:dyDescent="0.25">
      <c r="B196" s="7" t="s">
        <v>397</v>
      </c>
      <c r="C196" s="219"/>
      <c r="D196" s="216"/>
      <c r="E196" s="186">
        <v>0</v>
      </c>
      <c r="F196" s="186">
        <v>0</v>
      </c>
      <c r="G196" s="186">
        <v>0</v>
      </c>
      <c r="H196" s="182">
        <f t="shared" si="131"/>
        <v>0</v>
      </c>
      <c r="I196" s="182">
        <f t="shared" si="131"/>
        <v>0</v>
      </c>
      <c r="J196" s="182">
        <f t="shared" si="132"/>
        <v>0</v>
      </c>
      <c r="K196" s="182">
        <f t="shared" si="132"/>
        <v>0</v>
      </c>
      <c r="L196" s="182">
        <f t="shared" si="132"/>
        <v>0</v>
      </c>
      <c r="M196" s="182">
        <f t="shared" si="132"/>
        <v>0</v>
      </c>
      <c r="N196" s="182">
        <f t="shared" si="132"/>
        <v>0</v>
      </c>
      <c r="O196" s="182">
        <f t="shared" si="132"/>
        <v>0</v>
      </c>
      <c r="P196" s="182">
        <f t="shared" si="132"/>
        <v>0</v>
      </c>
    </row>
    <row r="197" spans="1:16" s="23" customFormat="1" x14ac:dyDescent="0.25">
      <c r="C197" s="78"/>
      <c r="D197" s="78"/>
      <c r="E197" s="23">
        <f>SUM(E188:E195)</f>
        <v>5</v>
      </c>
      <c r="F197" s="23">
        <f t="shared" ref="F197:P197" si="133">SUM(F188:F195)</f>
        <v>6</v>
      </c>
      <c r="G197" s="23">
        <f t="shared" si="133"/>
        <v>6</v>
      </c>
      <c r="H197" s="23">
        <f t="shared" si="133"/>
        <v>6</v>
      </c>
      <c r="I197" s="23">
        <f t="shared" si="133"/>
        <v>6</v>
      </c>
      <c r="J197" s="23">
        <f t="shared" si="133"/>
        <v>6</v>
      </c>
      <c r="K197" s="23">
        <f t="shared" si="133"/>
        <v>6</v>
      </c>
      <c r="L197" s="23">
        <f t="shared" si="133"/>
        <v>6</v>
      </c>
      <c r="M197" s="23">
        <f t="shared" si="133"/>
        <v>6</v>
      </c>
      <c r="N197" s="23">
        <f t="shared" si="133"/>
        <v>6</v>
      </c>
      <c r="O197" s="23">
        <f t="shared" si="133"/>
        <v>6</v>
      </c>
      <c r="P197" s="23">
        <f t="shared" si="133"/>
        <v>6</v>
      </c>
    </row>
    <row r="198" spans="1:16" s="2" customFormat="1" x14ac:dyDescent="0.25">
      <c r="A198" s="9" t="s">
        <v>6</v>
      </c>
    </row>
    <row r="199" spans="1:16" s="23" customFormat="1" x14ac:dyDescent="0.25">
      <c r="A199" s="7" t="s">
        <v>422</v>
      </c>
      <c r="B199" s="25"/>
      <c r="E199" s="191">
        <f>SUMIFS(E$188:E$195,$A$188:$A$195,$A188)</f>
        <v>1</v>
      </c>
      <c r="F199" s="191">
        <f t="shared" ref="F199:P199" si="134">SUMIFS(F$188:F$195,$A$188:$A$195,$A188)</f>
        <v>1</v>
      </c>
      <c r="G199" s="191">
        <f t="shared" si="134"/>
        <v>1</v>
      </c>
      <c r="H199" s="191">
        <f t="shared" si="134"/>
        <v>1</v>
      </c>
      <c r="I199" s="191">
        <f t="shared" si="134"/>
        <v>1</v>
      </c>
      <c r="J199" s="191">
        <f t="shared" si="134"/>
        <v>1</v>
      </c>
      <c r="K199" s="191">
        <f t="shared" si="134"/>
        <v>1</v>
      </c>
      <c r="L199" s="191">
        <f t="shared" si="134"/>
        <v>1</v>
      </c>
      <c r="M199" s="191">
        <f t="shared" si="134"/>
        <v>1</v>
      </c>
      <c r="N199" s="191">
        <f t="shared" si="134"/>
        <v>1</v>
      </c>
      <c r="O199" s="191">
        <f t="shared" si="134"/>
        <v>1</v>
      </c>
      <c r="P199" s="191">
        <f t="shared" si="134"/>
        <v>1</v>
      </c>
    </row>
    <row r="200" spans="1:16" s="23" customFormat="1" x14ac:dyDescent="0.25">
      <c r="A200" s="7" t="s">
        <v>9</v>
      </c>
      <c r="B200" s="25"/>
      <c r="E200" s="23">
        <f>SUM(E199:E199)</f>
        <v>1</v>
      </c>
      <c r="F200" s="23">
        <f t="shared" ref="F200:P200" si="135">SUM(F199:F199)</f>
        <v>1</v>
      </c>
      <c r="G200" s="23">
        <f t="shared" si="135"/>
        <v>1</v>
      </c>
      <c r="H200" s="23">
        <f t="shared" si="135"/>
        <v>1</v>
      </c>
      <c r="I200" s="23">
        <f t="shared" si="135"/>
        <v>1</v>
      </c>
      <c r="J200" s="23">
        <f t="shared" si="135"/>
        <v>1</v>
      </c>
      <c r="K200" s="23">
        <f t="shared" si="135"/>
        <v>1</v>
      </c>
      <c r="L200" s="23">
        <f t="shared" si="135"/>
        <v>1</v>
      </c>
      <c r="M200" s="23">
        <f t="shared" si="135"/>
        <v>1</v>
      </c>
      <c r="N200" s="23">
        <f t="shared" si="135"/>
        <v>1</v>
      </c>
      <c r="O200" s="23">
        <f t="shared" si="135"/>
        <v>1</v>
      </c>
      <c r="P200" s="23">
        <f t="shared" si="135"/>
        <v>1</v>
      </c>
    </row>
    <row r="201" spans="1:16" s="23" customFormat="1" x14ac:dyDescent="0.25">
      <c r="A201" s="7"/>
      <c r="B201" s="25"/>
    </row>
    <row r="202" spans="1:16" s="23" customFormat="1" x14ac:dyDescent="0.25">
      <c r="A202" s="7" t="s">
        <v>214</v>
      </c>
      <c r="B202" s="25"/>
      <c r="E202" s="17">
        <f>SUMIFS(E188:E196,$A188:$A196,$A191)</f>
        <v>2</v>
      </c>
      <c r="F202" s="17">
        <f t="shared" ref="F202:P202" si="136">SUMIFS(F188:F196,$A188:$A196,$A191)</f>
        <v>3</v>
      </c>
      <c r="G202" s="17">
        <f t="shared" si="136"/>
        <v>3</v>
      </c>
      <c r="H202" s="17">
        <f t="shared" si="136"/>
        <v>3</v>
      </c>
      <c r="I202" s="17">
        <f t="shared" si="136"/>
        <v>3</v>
      </c>
      <c r="J202" s="17">
        <f t="shared" si="136"/>
        <v>3</v>
      </c>
      <c r="K202" s="17">
        <f t="shared" si="136"/>
        <v>3</v>
      </c>
      <c r="L202" s="17">
        <f t="shared" si="136"/>
        <v>3</v>
      </c>
      <c r="M202" s="17">
        <f t="shared" si="136"/>
        <v>3</v>
      </c>
      <c r="N202" s="17">
        <f t="shared" si="136"/>
        <v>3</v>
      </c>
      <c r="O202" s="17">
        <f t="shared" si="136"/>
        <v>3</v>
      </c>
      <c r="P202" s="17">
        <f t="shared" si="136"/>
        <v>3</v>
      </c>
    </row>
    <row r="203" spans="1:16" s="23" customFormat="1" x14ac:dyDescent="0.25">
      <c r="A203" s="7" t="s">
        <v>423</v>
      </c>
      <c r="B203" s="25"/>
      <c r="E203" s="17">
        <f>SUMIFS(E189:E197,$A189:$A197,$A189)</f>
        <v>1</v>
      </c>
      <c r="F203" s="17">
        <f t="shared" ref="F203:P203" si="137">SUMIFS(F189:F197,$A189:$A197,$A189)</f>
        <v>1</v>
      </c>
      <c r="G203" s="17">
        <f t="shared" si="137"/>
        <v>1</v>
      </c>
      <c r="H203" s="17">
        <f t="shared" si="137"/>
        <v>1</v>
      </c>
      <c r="I203" s="17">
        <f t="shared" si="137"/>
        <v>1</v>
      </c>
      <c r="J203" s="17">
        <f t="shared" si="137"/>
        <v>1</v>
      </c>
      <c r="K203" s="17">
        <f t="shared" si="137"/>
        <v>1</v>
      </c>
      <c r="L203" s="17">
        <f t="shared" si="137"/>
        <v>1</v>
      </c>
      <c r="M203" s="17">
        <f t="shared" si="137"/>
        <v>1</v>
      </c>
      <c r="N203" s="17">
        <f t="shared" si="137"/>
        <v>1</v>
      </c>
      <c r="O203" s="17">
        <f t="shared" si="137"/>
        <v>1</v>
      </c>
      <c r="P203" s="17">
        <f t="shared" si="137"/>
        <v>1</v>
      </c>
    </row>
    <row r="204" spans="1:16" s="23" customFormat="1" x14ac:dyDescent="0.25">
      <c r="A204" s="7" t="s">
        <v>424</v>
      </c>
      <c r="B204" s="25"/>
      <c r="E204" s="119">
        <f>E197-E200-E202-E203</f>
        <v>1</v>
      </c>
      <c r="F204" s="119">
        <f t="shared" ref="F204:P204" si="138">F197-F200-F202-F203</f>
        <v>1</v>
      </c>
      <c r="G204" s="119">
        <f t="shared" si="138"/>
        <v>1</v>
      </c>
      <c r="H204" s="119">
        <f t="shared" si="138"/>
        <v>1</v>
      </c>
      <c r="I204" s="119">
        <f t="shared" si="138"/>
        <v>1</v>
      </c>
      <c r="J204" s="119">
        <f t="shared" si="138"/>
        <v>1</v>
      </c>
      <c r="K204" s="119">
        <f t="shared" si="138"/>
        <v>1</v>
      </c>
      <c r="L204" s="119">
        <f t="shared" si="138"/>
        <v>1</v>
      </c>
      <c r="M204" s="119">
        <f t="shared" si="138"/>
        <v>1</v>
      </c>
      <c r="N204" s="119">
        <f t="shared" si="138"/>
        <v>1</v>
      </c>
      <c r="O204" s="119">
        <f t="shared" si="138"/>
        <v>1</v>
      </c>
      <c r="P204" s="119">
        <f t="shared" si="138"/>
        <v>1</v>
      </c>
    </row>
    <row r="205" spans="1:16" s="2" customFormat="1" x14ac:dyDescent="0.25">
      <c r="A205" s="8" t="s">
        <v>11</v>
      </c>
      <c r="E205" s="17">
        <f>SUM(E200:E204)</f>
        <v>5</v>
      </c>
      <c r="F205" s="17">
        <f t="shared" ref="F205:P205" si="139">SUM(F200:F204)</f>
        <v>6</v>
      </c>
      <c r="G205" s="17">
        <f t="shared" si="139"/>
        <v>6</v>
      </c>
      <c r="H205" s="17">
        <f t="shared" si="139"/>
        <v>6</v>
      </c>
      <c r="I205" s="17">
        <f t="shared" si="139"/>
        <v>6</v>
      </c>
      <c r="J205" s="17">
        <f t="shared" si="139"/>
        <v>6</v>
      </c>
      <c r="K205" s="17">
        <f t="shared" si="139"/>
        <v>6</v>
      </c>
      <c r="L205" s="17">
        <f t="shared" si="139"/>
        <v>6</v>
      </c>
      <c r="M205" s="17">
        <f t="shared" si="139"/>
        <v>6</v>
      </c>
      <c r="N205" s="17">
        <f t="shared" si="139"/>
        <v>6</v>
      </c>
      <c r="O205" s="17">
        <f t="shared" si="139"/>
        <v>6</v>
      </c>
      <c r="P205" s="17">
        <f t="shared" si="139"/>
        <v>6</v>
      </c>
    </row>
    <row r="206" spans="1:16" s="2" customFormat="1" x14ac:dyDescent="0.25"/>
    <row r="207" spans="1:16" s="2" customFormat="1" x14ac:dyDescent="0.25"/>
    <row r="208" spans="1:16" s="2" customFormat="1" x14ac:dyDescent="0.25">
      <c r="A208" s="16" t="s">
        <v>177</v>
      </c>
      <c r="C208" s="192"/>
      <c r="D208" s="218" t="s">
        <v>558</v>
      </c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7" s="2" customFormat="1" x14ac:dyDescent="0.25">
      <c r="A209" s="2" t="str">
        <f t="shared" ref="A209:B217" si="140">A188</f>
        <v>6111ER</v>
      </c>
      <c r="B209" s="2" t="str">
        <f t="shared" si="140"/>
        <v>Educational Advising Coordinator (PERS = EE)</v>
      </c>
      <c r="C209" s="6"/>
      <c r="D209" s="85">
        <v>55000</v>
      </c>
      <c r="E209" s="10">
        <f t="shared" ref="E209:E217" si="141">E188*$D209*(1+E$5)</f>
        <v>55000</v>
      </c>
      <c r="F209" s="10">
        <f t="shared" ref="F209:P209" si="142">F188*$D209*(1+F$5)</f>
        <v>56100</v>
      </c>
      <c r="G209" s="10">
        <f t="shared" si="142"/>
        <v>57200</v>
      </c>
      <c r="H209" s="10">
        <f t="shared" si="142"/>
        <v>58300</v>
      </c>
      <c r="I209" s="10">
        <f t="shared" si="142"/>
        <v>59400.000000000007</v>
      </c>
      <c r="J209" s="10">
        <f t="shared" si="142"/>
        <v>60500.000000000007</v>
      </c>
      <c r="K209" s="10">
        <f t="shared" si="142"/>
        <v>61600.000000000007</v>
      </c>
      <c r="L209" s="10">
        <f t="shared" si="142"/>
        <v>62700.000000000007</v>
      </c>
      <c r="M209" s="10">
        <f t="shared" si="142"/>
        <v>63799.999999999993</v>
      </c>
      <c r="N209" s="10">
        <f t="shared" si="142"/>
        <v>64900</v>
      </c>
      <c r="O209" s="10">
        <f t="shared" si="142"/>
        <v>66000</v>
      </c>
      <c r="P209" s="10">
        <f t="shared" si="142"/>
        <v>67100</v>
      </c>
    </row>
    <row r="210" spans="1:17" s="2" customFormat="1" x14ac:dyDescent="0.25">
      <c r="A210" s="2" t="str">
        <f>A189</f>
        <v>6114ER</v>
      </c>
      <c r="B210" s="2" t="str">
        <f t="shared" si="140"/>
        <v>Director of Site Administration (PERS = ER)</v>
      </c>
      <c r="C210" s="6"/>
      <c r="D210" s="85">
        <v>90000</v>
      </c>
      <c r="E210" s="10">
        <f t="shared" si="141"/>
        <v>90000</v>
      </c>
      <c r="F210" s="10">
        <f t="shared" ref="F210:P210" si="143">F189*$D210*(1+F$5)</f>
        <v>91800</v>
      </c>
      <c r="G210" s="10">
        <f t="shared" si="143"/>
        <v>93600</v>
      </c>
      <c r="H210" s="10">
        <f t="shared" si="143"/>
        <v>95400</v>
      </c>
      <c r="I210" s="10">
        <f t="shared" si="143"/>
        <v>97200</v>
      </c>
      <c r="J210" s="10">
        <f t="shared" si="143"/>
        <v>99000.000000000015</v>
      </c>
      <c r="K210" s="10">
        <f t="shared" si="143"/>
        <v>100800.00000000001</v>
      </c>
      <c r="L210" s="10">
        <f t="shared" si="143"/>
        <v>102600.00000000001</v>
      </c>
      <c r="M210" s="10">
        <f t="shared" si="143"/>
        <v>104400</v>
      </c>
      <c r="N210" s="10">
        <f t="shared" si="143"/>
        <v>106200</v>
      </c>
      <c r="O210" s="10">
        <f t="shared" si="143"/>
        <v>108000</v>
      </c>
      <c r="P210" s="10">
        <f t="shared" si="143"/>
        <v>109800</v>
      </c>
    </row>
    <row r="211" spans="1:17" s="2" customFormat="1" x14ac:dyDescent="0.25">
      <c r="A211" s="2" t="str">
        <f t="shared" si="140"/>
        <v>6117EE</v>
      </c>
      <c r="B211" s="2" t="str">
        <f>B190</f>
        <v>Office Manager (PERS = EE)</v>
      </c>
      <c r="C211" s="6"/>
      <c r="D211" s="85">
        <v>40000</v>
      </c>
      <c r="E211" s="10">
        <f t="shared" si="141"/>
        <v>40000</v>
      </c>
      <c r="F211" s="10">
        <f t="shared" ref="F211:P211" si="144">F190*$D211*(1+F$5)</f>
        <v>40800</v>
      </c>
      <c r="G211" s="10">
        <f t="shared" si="144"/>
        <v>41600</v>
      </c>
      <c r="H211" s="10">
        <f t="shared" si="144"/>
        <v>42400</v>
      </c>
      <c r="I211" s="10">
        <f t="shared" si="144"/>
        <v>43200</v>
      </c>
      <c r="J211" s="10">
        <f t="shared" si="144"/>
        <v>44000</v>
      </c>
      <c r="K211" s="10">
        <f t="shared" si="144"/>
        <v>44800.000000000007</v>
      </c>
      <c r="L211" s="10">
        <f t="shared" si="144"/>
        <v>45600.000000000007</v>
      </c>
      <c r="M211" s="10">
        <f t="shared" si="144"/>
        <v>46400</v>
      </c>
      <c r="N211" s="10">
        <f t="shared" si="144"/>
        <v>47200</v>
      </c>
      <c r="O211" s="10">
        <f t="shared" si="144"/>
        <v>48000</v>
      </c>
      <c r="P211" s="10">
        <f t="shared" si="144"/>
        <v>48800</v>
      </c>
    </row>
    <row r="212" spans="1:17" s="2" customFormat="1" x14ac:dyDescent="0.25">
      <c r="A212" s="2">
        <f t="shared" si="140"/>
        <v>6127</v>
      </c>
      <c r="B212" s="2" t="str">
        <f t="shared" si="140"/>
        <v>Student Worker #1</v>
      </c>
      <c r="C212" s="164" t="s">
        <v>559</v>
      </c>
      <c r="D212" s="85">
        <v>12000</v>
      </c>
      <c r="E212" s="10">
        <f>E191*$D212*(1+E$5)</f>
        <v>24000</v>
      </c>
      <c r="F212" s="10">
        <f t="shared" ref="F212:P212" si="145">F191*$D212*(1+F$5)</f>
        <v>24480</v>
      </c>
      <c r="G212" s="10">
        <f t="shared" si="145"/>
        <v>24960</v>
      </c>
      <c r="H212" s="10">
        <f t="shared" si="145"/>
        <v>25440</v>
      </c>
      <c r="I212" s="10">
        <f t="shared" si="145"/>
        <v>25920</v>
      </c>
      <c r="J212" s="10">
        <f t="shared" si="145"/>
        <v>26400.000000000004</v>
      </c>
      <c r="K212" s="10">
        <f t="shared" si="145"/>
        <v>26880.000000000004</v>
      </c>
      <c r="L212" s="10">
        <f t="shared" si="145"/>
        <v>27360.000000000004</v>
      </c>
      <c r="M212" s="10">
        <f t="shared" si="145"/>
        <v>27839.999999999996</v>
      </c>
      <c r="N212" s="10">
        <f t="shared" si="145"/>
        <v>28320</v>
      </c>
      <c r="O212" s="10">
        <f t="shared" si="145"/>
        <v>28800</v>
      </c>
      <c r="P212" s="10">
        <f t="shared" si="145"/>
        <v>29280</v>
      </c>
    </row>
    <row r="213" spans="1:17" s="2" customFormat="1" x14ac:dyDescent="0.25">
      <c r="A213" s="2">
        <f t="shared" si="140"/>
        <v>6127</v>
      </c>
      <c r="B213" s="2" t="str">
        <f t="shared" si="140"/>
        <v>Student Worker #2</v>
      </c>
      <c r="C213" s="164" t="s">
        <v>733</v>
      </c>
      <c r="D213" s="85">
        <v>6000</v>
      </c>
      <c r="E213" s="10">
        <f>E192*$D213*(1+E$5)</f>
        <v>0</v>
      </c>
      <c r="F213" s="10">
        <f>F192*$D213*(1+F$5)</f>
        <v>6120</v>
      </c>
      <c r="G213" s="10">
        <f t="shared" ref="G213:P213" si="146">G192*$D213*(1+G$5)</f>
        <v>6240</v>
      </c>
      <c r="H213" s="10">
        <f t="shared" si="146"/>
        <v>6360</v>
      </c>
      <c r="I213" s="10">
        <f t="shared" si="146"/>
        <v>6480</v>
      </c>
      <c r="J213" s="10">
        <f t="shared" si="146"/>
        <v>6600.0000000000009</v>
      </c>
      <c r="K213" s="10">
        <f t="shared" si="146"/>
        <v>6720.0000000000009</v>
      </c>
      <c r="L213" s="10">
        <f t="shared" si="146"/>
        <v>6840.0000000000009</v>
      </c>
      <c r="M213" s="10">
        <f t="shared" si="146"/>
        <v>6959.9999999999991</v>
      </c>
      <c r="N213" s="10">
        <f t="shared" si="146"/>
        <v>7080</v>
      </c>
      <c r="O213" s="10">
        <f t="shared" si="146"/>
        <v>7200</v>
      </c>
      <c r="P213" s="10">
        <f t="shared" si="146"/>
        <v>7320</v>
      </c>
    </row>
    <row r="214" spans="1:17" x14ac:dyDescent="0.25">
      <c r="A214">
        <f t="shared" si="140"/>
        <v>6127</v>
      </c>
      <c r="B214" t="str">
        <f t="shared" si="140"/>
        <v>Student Worker #3</v>
      </c>
      <c r="C214" s="6"/>
      <c r="D214" s="85">
        <v>0</v>
      </c>
      <c r="E214" s="48">
        <f t="shared" si="141"/>
        <v>0</v>
      </c>
      <c r="F214" s="48">
        <f t="shared" ref="F214:P214" si="147">F193*$D214*(1+F$5)</f>
        <v>0</v>
      </c>
      <c r="G214" s="48">
        <f t="shared" si="147"/>
        <v>0</v>
      </c>
      <c r="H214" s="48">
        <f t="shared" si="147"/>
        <v>0</v>
      </c>
      <c r="I214" s="48">
        <f t="shared" si="147"/>
        <v>0</v>
      </c>
      <c r="J214" s="48">
        <f t="shared" si="147"/>
        <v>0</v>
      </c>
      <c r="K214" s="48">
        <f t="shared" si="147"/>
        <v>0</v>
      </c>
      <c r="L214" s="48">
        <f t="shared" si="147"/>
        <v>0</v>
      </c>
      <c r="M214" s="48">
        <f t="shared" si="147"/>
        <v>0</v>
      </c>
      <c r="N214" s="48">
        <f t="shared" si="147"/>
        <v>0</v>
      </c>
      <c r="O214" s="48">
        <f t="shared" si="147"/>
        <v>0</v>
      </c>
      <c r="P214" s="48">
        <f t="shared" si="147"/>
        <v>0</v>
      </c>
    </row>
    <row r="215" spans="1:17" x14ac:dyDescent="0.25">
      <c r="A215">
        <f t="shared" si="140"/>
        <v>6127</v>
      </c>
      <c r="B215" t="str">
        <f t="shared" si="140"/>
        <v>Student Worker #4</v>
      </c>
      <c r="C215" s="6"/>
      <c r="D215" s="85">
        <v>0</v>
      </c>
      <c r="E215" s="75">
        <f t="shared" si="141"/>
        <v>0</v>
      </c>
      <c r="F215" s="75">
        <f t="shared" ref="F215:P215" si="148">F194*$D215*(1+F$5)</f>
        <v>0</v>
      </c>
      <c r="G215" s="75">
        <f t="shared" si="148"/>
        <v>0</v>
      </c>
      <c r="H215" s="75">
        <f t="shared" si="148"/>
        <v>0</v>
      </c>
      <c r="I215" s="75">
        <f t="shared" si="148"/>
        <v>0</v>
      </c>
      <c r="J215" s="75">
        <f t="shared" si="148"/>
        <v>0</v>
      </c>
      <c r="K215" s="75">
        <f t="shared" si="148"/>
        <v>0</v>
      </c>
      <c r="L215" s="75">
        <f t="shared" si="148"/>
        <v>0</v>
      </c>
      <c r="M215" s="75">
        <f t="shared" si="148"/>
        <v>0</v>
      </c>
      <c r="N215" s="75">
        <f t="shared" si="148"/>
        <v>0</v>
      </c>
      <c r="O215" s="75">
        <f t="shared" si="148"/>
        <v>0</v>
      </c>
      <c r="P215" s="75">
        <f t="shared" si="148"/>
        <v>0</v>
      </c>
    </row>
    <row r="216" spans="1:17" x14ac:dyDescent="0.25">
      <c r="A216">
        <f t="shared" si="140"/>
        <v>6127</v>
      </c>
      <c r="B216" t="str">
        <f t="shared" si="140"/>
        <v>Part-time Worker #1</v>
      </c>
      <c r="C216" s="6"/>
      <c r="D216" s="85">
        <v>0</v>
      </c>
      <c r="E216" s="75">
        <f t="shared" si="141"/>
        <v>0</v>
      </c>
      <c r="F216" s="75">
        <f t="shared" ref="F216:P216" si="149">F195*$D216*(1+F$5)</f>
        <v>0</v>
      </c>
      <c r="G216" s="75">
        <f t="shared" si="149"/>
        <v>0</v>
      </c>
      <c r="H216" s="75">
        <f t="shared" si="149"/>
        <v>0</v>
      </c>
      <c r="I216" s="75">
        <f t="shared" si="149"/>
        <v>0</v>
      </c>
      <c r="J216" s="75">
        <f t="shared" si="149"/>
        <v>0</v>
      </c>
      <c r="K216" s="75">
        <f t="shared" si="149"/>
        <v>0</v>
      </c>
      <c r="L216" s="75">
        <f t="shared" si="149"/>
        <v>0</v>
      </c>
      <c r="M216" s="75">
        <f t="shared" si="149"/>
        <v>0</v>
      </c>
      <c r="N216" s="75">
        <f t="shared" si="149"/>
        <v>0</v>
      </c>
      <c r="O216" s="75">
        <f t="shared" si="149"/>
        <v>0</v>
      </c>
      <c r="P216" s="75">
        <f t="shared" si="149"/>
        <v>0</v>
      </c>
    </row>
    <row r="217" spans="1:17" x14ac:dyDescent="0.25">
      <c r="A217">
        <f t="shared" si="140"/>
        <v>0</v>
      </c>
      <c r="B217" t="str">
        <f t="shared" si="140"/>
        <v>Open_01</v>
      </c>
      <c r="C217" s="31"/>
      <c r="D217" s="85">
        <v>0</v>
      </c>
      <c r="E217" s="49">
        <f t="shared" si="141"/>
        <v>0</v>
      </c>
      <c r="F217" s="49">
        <f t="shared" ref="F217:P217" si="150">F196*$D217*(1+F$5)</f>
        <v>0</v>
      </c>
      <c r="G217" s="49">
        <f t="shared" si="150"/>
        <v>0</v>
      </c>
      <c r="H217" s="49">
        <f t="shared" si="150"/>
        <v>0</v>
      </c>
      <c r="I217" s="49">
        <f t="shared" si="150"/>
        <v>0</v>
      </c>
      <c r="J217" s="49">
        <f t="shared" si="150"/>
        <v>0</v>
      </c>
      <c r="K217" s="49">
        <f t="shared" si="150"/>
        <v>0</v>
      </c>
      <c r="L217" s="49">
        <f t="shared" si="150"/>
        <v>0</v>
      </c>
      <c r="M217" s="49">
        <f t="shared" si="150"/>
        <v>0</v>
      </c>
      <c r="N217" s="49">
        <f t="shared" si="150"/>
        <v>0</v>
      </c>
      <c r="O217" s="49">
        <f t="shared" si="150"/>
        <v>0</v>
      </c>
      <c r="P217" s="49">
        <f t="shared" si="150"/>
        <v>0</v>
      </c>
    </row>
    <row r="218" spans="1:17" x14ac:dyDescent="0.25">
      <c r="C218" s="31"/>
      <c r="E218" s="48">
        <f t="shared" ref="E218:P218" si="151">SUM(E209:E217)</f>
        <v>209000</v>
      </c>
      <c r="F218" s="48">
        <f t="shared" si="151"/>
        <v>219300</v>
      </c>
      <c r="G218" s="48">
        <f t="shared" si="151"/>
        <v>223600</v>
      </c>
      <c r="H218" s="48">
        <f t="shared" si="151"/>
        <v>227900</v>
      </c>
      <c r="I218" s="48">
        <f t="shared" si="151"/>
        <v>232200</v>
      </c>
      <c r="J218" s="48">
        <f t="shared" si="151"/>
        <v>236500.00000000003</v>
      </c>
      <c r="K218" s="48">
        <f t="shared" si="151"/>
        <v>240800.00000000003</v>
      </c>
      <c r="L218" s="48">
        <f t="shared" si="151"/>
        <v>245100.00000000003</v>
      </c>
      <c r="M218" s="48">
        <f t="shared" si="151"/>
        <v>249400</v>
      </c>
      <c r="N218" s="48">
        <f t="shared" si="151"/>
        <v>253700</v>
      </c>
      <c r="O218" s="48">
        <f t="shared" si="151"/>
        <v>258000</v>
      </c>
      <c r="P218" s="48">
        <f t="shared" si="151"/>
        <v>262300</v>
      </c>
    </row>
    <row r="219" spans="1:17" x14ac:dyDescent="0.25">
      <c r="C219" s="31"/>
    </row>
    <row r="220" spans="1:17" x14ac:dyDescent="0.25">
      <c r="C220" s="31"/>
    </row>
    <row r="221" spans="1:17" x14ac:dyDescent="0.25">
      <c r="A221" s="16" t="s">
        <v>459</v>
      </c>
      <c r="B221" s="2"/>
      <c r="C221" s="19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7" x14ac:dyDescent="0.25">
      <c r="A222" s="16"/>
      <c r="B222" s="2" t="s">
        <v>460</v>
      </c>
      <c r="C222" s="6" t="s">
        <v>737</v>
      </c>
      <c r="D222" s="2"/>
      <c r="E222" s="12">
        <v>0.95</v>
      </c>
      <c r="F222" s="12">
        <v>0.92</v>
      </c>
      <c r="G222" s="12">
        <v>0.93</v>
      </c>
      <c r="H222" s="12">
        <v>0.94</v>
      </c>
      <c r="I222" s="12">
        <v>0.95</v>
      </c>
      <c r="J222" s="12">
        <v>0.96</v>
      </c>
      <c r="K222" s="12">
        <v>0.97</v>
      </c>
      <c r="L222" s="12">
        <v>0.98</v>
      </c>
      <c r="M222" s="12">
        <v>1</v>
      </c>
      <c r="N222" s="12">
        <v>1.03</v>
      </c>
      <c r="O222" s="12">
        <v>1.02</v>
      </c>
      <c r="P222" s="12">
        <v>1.48</v>
      </c>
      <c r="Q222" s="12"/>
    </row>
    <row r="223" spans="1:17" x14ac:dyDescent="0.25">
      <c r="A223" s="16"/>
      <c r="B223" s="2" t="s">
        <v>461</v>
      </c>
      <c r="C223" s="6" t="s">
        <v>512</v>
      </c>
      <c r="D223" s="2"/>
      <c r="E223" s="10">
        <v>5800</v>
      </c>
      <c r="F223" s="10">
        <v>5800</v>
      </c>
      <c r="G223" s="10">
        <v>5800</v>
      </c>
      <c r="H223" s="10">
        <v>5800</v>
      </c>
      <c r="I223" s="10">
        <v>5800</v>
      </c>
      <c r="J223" s="10">
        <v>5800</v>
      </c>
      <c r="K223" s="10">
        <v>5800</v>
      </c>
      <c r="L223" s="10">
        <v>5800</v>
      </c>
      <c r="M223" s="10">
        <v>5800</v>
      </c>
      <c r="N223" s="10">
        <v>5800</v>
      </c>
      <c r="O223" s="10">
        <v>5800</v>
      </c>
      <c r="P223" s="10">
        <v>4000</v>
      </c>
      <c r="Q223" s="10"/>
    </row>
    <row r="224" spans="1:17" x14ac:dyDescent="0.25">
      <c r="A224" s="2"/>
      <c r="B224" s="2" t="s">
        <v>462</v>
      </c>
      <c r="C224" s="31" t="s">
        <v>513</v>
      </c>
      <c r="E224" s="10">
        <v>63300</v>
      </c>
      <c r="F224" s="10">
        <v>64000</v>
      </c>
      <c r="G224" s="10">
        <v>64675</v>
      </c>
      <c r="H224" s="10">
        <v>65398</v>
      </c>
      <c r="I224" s="10">
        <v>66148</v>
      </c>
      <c r="J224" s="10">
        <v>66920</v>
      </c>
      <c r="K224" s="10">
        <v>67714</v>
      </c>
      <c r="L224" s="10">
        <v>68532</v>
      </c>
      <c r="M224" s="10">
        <v>69374</v>
      </c>
      <c r="N224" s="10">
        <v>70241</v>
      </c>
      <c r="O224" s="10">
        <v>71134</v>
      </c>
      <c r="P224" s="10">
        <v>71134</v>
      </c>
      <c r="Q224" s="10"/>
    </row>
  </sheetData>
  <printOptions horizontalCentered="1"/>
  <pageMargins left="0.7" right="0.7" top="0.75" bottom="0.75" header="0.3" footer="0.3"/>
  <pageSetup paperSize="17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Metrics</vt:lpstr>
      <vt:lpstr>Organizational Rollup</vt:lpstr>
      <vt:lpstr>School Rollup</vt:lpstr>
      <vt:lpstr>Assumptions</vt:lpstr>
      <vt:lpstr>Revenue</vt:lpstr>
      <vt:lpstr>Loan</vt:lpstr>
      <vt:lpstr>CSO</vt:lpstr>
      <vt:lpstr>Site1</vt:lpstr>
      <vt:lpstr>Site2</vt:lpstr>
      <vt:lpstr>Site3</vt:lpstr>
      <vt:lpstr>Site4</vt:lpstr>
      <vt:lpstr>Site5</vt:lpstr>
      <vt:lpstr>Site6</vt:lpstr>
      <vt:lpstr>Scrubbed #4 K-4</vt:lpstr>
      <vt:lpstr>Scrubbed #5 5-8</vt:lpstr>
      <vt:lpstr>Scrubbed #6 9-12</vt:lpstr>
      <vt:lpstr>Rate Sheet</vt:lpstr>
      <vt:lpstr>'Organizational Rollup'!Print_Titles</vt:lpstr>
      <vt:lpstr>'School Rollup'!Print_Titles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Hawk</dc:creator>
  <cp:lastModifiedBy>John D. Hawk</cp:lastModifiedBy>
  <cp:lastPrinted>2018-04-08T18:51:26Z</cp:lastPrinted>
  <dcterms:created xsi:type="dcterms:W3CDTF">2013-03-14T17:25:38Z</dcterms:created>
  <dcterms:modified xsi:type="dcterms:W3CDTF">2018-04-08T18:52:46Z</dcterms:modified>
</cp:coreProperties>
</file>